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5835" yWindow="-105" windowWidth="5805" windowHeight="7845" tabRatio="838" activeTab="7"/>
  </bookViews>
  <sheets>
    <sheet name="Home" sheetId="9" r:id="rId1"/>
    <sheet name="DATA SISWA &amp; SEK" sheetId="8" r:id="rId2"/>
    <sheet name="KKM" sheetId="31" r:id="rId3"/>
    <sheet name="LEGER" sheetId="1" r:id="rId4"/>
    <sheet name="REKAP LEGER" sheetId="33" r:id="rId5"/>
    <sheet name="IJASAH DPN" sheetId="11" r:id="rId6"/>
    <sheet name="IJASAH BELK" sheetId="12" r:id="rId7"/>
    <sheet name="SURAT KET LULUS" sheetId="30" r:id="rId8"/>
    <sheet name="Sampul" sheetId="22" r:id="rId9"/>
  </sheets>
  <definedNames>
    <definedName name="_xlnm.Print_Area" localSheetId="3">LEGER!$B$1:$W$216</definedName>
    <definedName name="_xlnm.Print_Area" localSheetId="7">'SURAT KET LULUS'!$A$1:$I$43</definedName>
    <definedName name="_xlnm.Print_Titles" localSheetId="3">LEGER!$1:$6</definedName>
  </definedNames>
  <calcPr calcId="144525"/>
</workbook>
</file>

<file path=xl/calcChain.xml><?xml version="1.0" encoding="utf-8"?>
<calcChain xmlns="http://schemas.openxmlformats.org/spreadsheetml/2006/main">
  <c r="E36" i="12" l="1"/>
  <c r="F30" i="11"/>
  <c r="K54" i="33"/>
  <c r="T205" i="1"/>
  <c r="S205" i="1"/>
  <c r="R204" i="1"/>
  <c r="R206" i="1" s="1"/>
  <c r="Q204" i="1"/>
  <c r="Q206" i="1" s="1"/>
  <c r="P204" i="1"/>
  <c r="P206" i="1" s="1"/>
  <c r="O204" i="1"/>
  <c r="O206" i="1" s="1"/>
  <c r="N204" i="1"/>
  <c r="N206" i="1" s="1"/>
  <c r="M204" i="1"/>
  <c r="M206" i="1" s="1"/>
  <c r="L204" i="1"/>
  <c r="L206" i="1" s="1"/>
  <c r="K204" i="1"/>
  <c r="K206" i="1" s="1"/>
  <c r="J204" i="1"/>
  <c r="J206" i="1" s="1"/>
  <c r="J6" i="33"/>
  <c r="E6" i="33"/>
  <c r="B9" i="30"/>
  <c r="S200" i="1"/>
  <c r="S195" i="1"/>
  <c r="S190" i="1"/>
  <c r="S185" i="1"/>
  <c r="S180" i="1"/>
  <c r="S175" i="1"/>
  <c r="S170" i="1"/>
  <c r="S165" i="1"/>
  <c r="S160" i="1"/>
  <c r="S155" i="1"/>
  <c r="S150" i="1"/>
  <c r="S145" i="1"/>
  <c r="S140" i="1"/>
  <c r="S135" i="1"/>
  <c r="S130" i="1"/>
  <c r="S125" i="1"/>
  <c r="S120" i="1"/>
  <c r="S115" i="1"/>
  <c r="S110" i="1"/>
  <c r="S105" i="1"/>
  <c r="S100" i="1"/>
  <c r="S95" i="1"/>
  <c r="S90" i="1"/>
  <c r="S85" i="1"/>
  <c r="S80" i="1"/>
  <c r="S75" i="1"/>
  <c r="S70" i="1"/>
  <c r="S65" i="1"/>
  <c r="S55" i="1"/>
  <c r="S50" i="1"/>
  <c r="S45" i="1"/>
  <c r="S40" i="1"/>
  <c r="S35" i="1"/>
  <c r="S30" i="1"/>
  <c r="S25" i="1"/>
  <c r="S20" i="1"/>
  <c r="S15" i="1"/>
  <c r="S10" i="1"/>
  <c r="S60" i="1"/>
  <c r="T200" i="1"/>
  <c r="R199" i="1"/>
  <c r="R201" i="1" s="1"/>
  <c r="L45" i="33" s="1"/>
  <c r="Q199" i="1"/>
  <c r="Q201" i="1" s="1"/>
  <c r="K45" i="33" s="1"/>
  <c r="P199" i="1"/>
  <c r="P201" i="1" s="1"/>
  <c r="J45" i="33" s="1"/>
  <c r="O199" i="1"/>
  <c r="O201" i="1" s="1"/>
  <c r="I45" i="33" s="1"/>
  <c r="N199" i="1"/>
  <c r="N201" i="1" s="1"/>
  <c r="H45" i="33" s="1"/>
  <c r="M199" i="1"/>
  <c r="M201" i="1" s="1"/>
  <c r="G45" i="33" s="1"/>
  <c r="L199" i="1"/>
  <c r="L201" i="1" s="1"/>
  <c r="F45" i="33" s="1"/>
  <c r="K199" i="1"/>
  <c r="K201" i="1" s="1"/>
  <c r="E45" i="33" s="1"/>
  <c r="J199" i="1"/>
  <c r="J201" i="1" s="1"/>
  <c r="D45" i="33" s="1"/>
  <c r="T195" i="1"/>
  <c r="R194" i="1"/>
  <c r="R196" i="1" s="1"/>
  <c r="L44" i="33" s="1"/>
  <c r="Q194" i="1"/>
  <c r="Q196" i="1" s="1"/>
  <c r="K44" i="33" s="1"/>
  <c r="P194" i="1"/>
  <c r="P196" i="1" s="1"/>
  <c r="J44" i="33" s="1"/>
  <c r="O194" i="1"/>
  <c r="O196" i="1" s="1"/>
  <c r="I44" i="33" s="1"/>
  <c r="N194" i="1"/>
  <c r="N196" i="1" s="1"/>
  <c r="H44" i="33" s="1"/>
  <c r="M194" i="1"/>
  <c r="M196" i="1" s="1"/>
  <c r="G44" i="33" s="1"/>
  <c r="L194" i="1"/>
  <c r="K194" i="1"/>
  <c r="K196" i="1" s="1"/>
  <c r="E44" i="33" s="1"/>
  <c r="J194" i="1"/>
  <c r="J196" i="1" s="1"/>
  <c r="S196" i="1" s="1"/>
  <c r="M44" i="33" s="1"/>
  <c r="O44" i="33" s="1"/>
  <c r="T190" i="1"/>
  <c r="R189" i="1"/>
  <c r="R191" i="1" s="1"/>
  <c r="L43" i="33" s="1"/>
  <c r="Q189" i="1"/>
  <c r="Q191" i="1" s="1"/>
  <c r="K43" i="33" s="1"/>
  <c r="P189" i="1"/>
  <c r="P191" i="1" s="1"/>
  <c r="J43" i="33" s="1"/>
  <c r="O189" i="1"/>
  <c r="O191" i="1" s="1"/>
  <c r="I43" i="33" s="1"/>
  <c r="N189" i="1"/>
  <c r="N191" i="1" s="1"/>
  <c r="H43" i="33" s="1"/>
  <c r="M189" i="1"/>
  <c r="M191" i="1" s="1"/>
  <c r="G43" i="33" s="1"/>
  <c r="L189" i="1"/>
  <c r="L191" i="1" s="1"/>
  <c r="F43" i="33" s="1"/>
  <c r="K189" i="1"/>
  <c r="K191" i="1" s="1"/>
  <c r="E43" i="33" s="1"/>
  <c r="J189" i="1"/>
  <c r="J191" i="1" s="1"/>
  <c r="D43" i="33" s="1"/>
  <c r="T185" i="1"/>
  <c r="R184" i="1"/>
  <c r="R186" i="1" s="1"/>
  <c r="L42" i="33" s="1"/>
  <c r="Q184" i="1"/>
  <c r="Q186" i="1" s="1"/>
  <c r="K42" i="33" s="1"/>
  <c r="P184" i="1"/>
  <c r="P186" i="1" s="1"/>
  <c r="J42" i="33" s="1"/>
  <c r="O184" i="1"/>
  <c r="O186" i="1" s="1"/>
  <c r="I42" i="33" s="1"/>
  <c r="N184" i="1"/>
  <c r="N186" i="1" s="1"/>
  <c r="H42" i="33" s="1"/>
  <c r="M184" i="1"/>
  <c r="M186" i="1" s="1"/>
  <c r="G42" i="33" s="1"/>
  <c r="L184" i="1"/>
  <c r="K184" i="1"/>
  <c r="K186" i="1" s="1"/>
  <c r="E42" i="33" s="1"/>
  <c r="J184" i="1"/>
  <c r="J186" i="1" s="1"/>
  <c r="D42" i="33" s="1"/>
  <c r="T180" i="1"/>
  <c r="R179" i="1"/>
  <c r="R181" i="1" s="1"/>
  <c r="L41" i="33" s="1"/>
  <c r="Q179" i="1"/>
  <c r="Q181" i="1" s="1"/>
  <c r="K41" i="33" s="1"/>
  <c r="P179" i="1"/>
  <c r="P181" i="1" s="1"/>
  <c r="J41" i="33" s="1"/>
  <c r="O179" i="1"/>
  <c r="O181" i="1" s="1"/>
  <c r="I41" i="33" s="1"/>
  <c r="N179" i="1"/>
  <c r="N181" i="1" s="1"/>
  <c r="H41" i="33" s="1"/>
  <c r="M179" i="1"/>
  <c r="M181" i="1" s="1"/>
  <c r="G41" i="33" s="1"/>
  <c r="L179" i="1"/>
  <c r="L181" i="1" s="1"/>
  <c r="F41" i="33" s="1"/>
  <c r="K179" i="1"/>
  <c r="K181" i="1" s="1"/>
  <c r="E41" i="33" s="1"/>
  <c r="J179" i="1"/>
  <c r="J181" i="1" s="1"/>
  <c r="D41" i="33" s="1"/>
  <c r="T175" i="1"/>
  <c r="R174" i="1"/>
  <c r="R176" i="1" s="1"/>
  <c r="L40" i="33" s="1"/>
  <c r="Q174" i="1"/>
  <c r="Q176" i="1" s="1"/>
  <c r="K40" i="33" s="1"/>
  <c r="P174" i="1"/>
  <c r="P176" i="1" s="1"/>
  <c r="J40" i="33" s="1"/>
  <c r="O174" i="1"/>
  <c r="O176" i="1" s="1"/>
  <c r="I40" i="33" s="1"/>
  <c r="N174" i="1"/>
  <c r="N176" i="1" s="1"/>
  <c r="H40" i="33" s="1"/>
  <c r="M174" i="1"/>
  <c r="M176" i="1" s="1"/>
  <c r="G40" i="33" s="1"/>
  <c r="L174" i="1"/>
  <c r="K174" i="1"/>
  <c r="K176" i="1" s="1"/>
  <c r="E40" i="33" s="1"/>
  <c r="J174" i="1"/>
  <c r="J176" i="1" s="1"/>
  <c r="S176" i="1" s="1"/>
  <c r="M40" i="33" s="1"/>
  <c r="O40" i="33" s="1"/>
  <c r="T170" i="1"/>
  <c r="R169" i="1"/>
  <c r="R171" i="1" s="1"/>
  <c r="L39" i="33" s="1"/>
  <c r="Q169" i="1"/>
  <c r="Q171" i="1" s="1"/>
  <c r="K39" i="33" s="1"/>
  <c r="P169" i="1"/>
  <c r="P171" i="1" s="1"/>
  <c r="J39" i="33" s="1"/>
  <c r="O169" i="1"/>
  <c r="O171" i="1" s="1"/>
  <c r="I39" i="33" s="1"/>
  <c r="N169" i="1"/>
  <c r="N171" i="1" s="1"/>
  <c r="H39" i="33" s="1"/>
  <c r="M169" i="1"/>
  <c r="M171" i="1" s="1"/>
  <c r="G39" i="33" s="1"/>
  <c r="L169" i="1"/>
  <c r="L171" i="1" s="1"/>
  <c r="F39" i="33" s="1"/>
  <c r="K169" i="1"/>
  <c r="K171" i="1" s="1"/>
  <c r="E39" i="33" s="1"/>
  <c r="J169" i="1"/>
  <c r="J171" i="1" s="1"/>
  <c r="D39" i="33" s="1"/>
  <c r="T165" i="1"/>
  <c r="R164" i="1"/>
  <c r="R166" i="1" s="1"/>
  <c r="L38" i="33" s="1"/>
  <c r="Q164" i="1"/>
  <c r="Q166" i="1" s="1"/>
  <c r="K38" i="33" s="1"/>
  <c r="P164" i="1"/>
  <c r="P166" i="1" s="1"/>
  <c r="J38" i="33" s="1"/>
  <c r="O164" i="1"/>
  <c r="O166" i="1" s="1"/>
  <c r="I38" i="33" s="1"/>
  <c r="N164" i="1"/>
  <c r="N166" i="1" s="1"/>
  <c r="H38" i="33" s="1"/>
  <c r="M164" i="1"/>
  <c r="M166" i="1" s="1"/>
  <c r="G38" i="33" s="1"/>
  <c r="L164" i="1"/>
  <c r="L166" i="1" s="1"/>
  <c r="F38" i="33" s="1"/>
  <c r="K164" i="1"/>
  <c r="K166" i="1" s="1"/>
  <c r="E38" i="33" s="1"/>
  <c r="J164" i="1"/>
  <c r="S164" i="1" s="1"/>
  <c r="T160" i="1"/>
  <c r="R159" i="1"/>
  <c r="R161" i="1" s="1"/>
  <c r="L37" i="33" s="1"/>
  <c r="Q159" i="1"/>
  <c r="Q161" i="1" s="1"/>
  <c r="K37" i="33" s="1"/>
  <c r="P159" i="1"/>
  <c r="P161" i="1" s="1"/>
  <c r="J37" i="33" s="1"/>
  <c r="O159" i="1"/>
  <c r="O161" i="1" s="1"/>
  <c r="I37" i="33" s="1"/>
  <c r="N159" i="1"/>
  <c r="N161" i="1" s="1"/>
  <c r="H37" i="33" s="1"/>
  <c r="M159" i="1"/>
  <c r="M161" i="1" s="1"/>
  <c r="G37" i="33" s="1"/>
  <c r="L159" i="1"/>
  <c r="L161" i="1" s="1"/>
  <c r="F37" i="33" s="1"/>
  <c r="K159" i="1"/>
  <c r="K161" i="1" s="1"/>
  <c r="E37" i="33" s="1"/>
  <c r="J159" i="1"/>
  <c r="J161" i="1" s="1"/>
  <c r="D37" i="33" s="1"/>
  <c r="T155" i="1"/>
  <c r="R154" i="1"/>
  <c r="R156" i="1" s="1"/>
  <c r="L36" i="33" s="1"/>
  <c r="Q154" i="1"/>
  <c r="Q156" i="1" s="1"/>
  <c r="K36" i="33" s="1"/>
  <c r="P154" i="1"/>
  <c r="P156" i="1" s="1"/>
  <c r="J36" i="33" s="1"/>
  <c r="O154" i="1"/>
  <c r="O156" i="1" s="1"/>
  <c r="I36" i="33" s="1"/>
  <c r="N154" i="1"/>
  <c r="N156" i="1" s="1"/>
  <c r="H36" i="33" s="1"/>
  <c r="M154" i="1"/>
  <c r="M156" i="1" s="1"/>
  <c r="G36" i="33" s="1"/>
  <c r="L154" i="1"/>
  <c r="L156" i="1" s="1"/>
  <c r="F36" i="33" s="1"/>
  <c r="K154" i="1"/>
  <c r="K156" i="1" s="1"/>
  <c r="E36" i="33" s="1"/>
  <c r="J154" i="1"/>
  <c r="J156" i="1" s="1"/>
  <c r="S156" i="1" s="1"/>
  <c r="M36" i="33" s="1"/>
  <c r="O36" i="33" s="1"/>
  <c r="T150" i="1"/>
  <c r="R149" i="1"/>
  <c r="R151" i="1" s="1"/>
  <c r="L35" i="33" s="1"/>
  <c r="Q149" i="1"/>
  <c r="Q151" i="1" s="1"/>
  <c r="K35" i="33" s="1"/>
  <c r="P149" i="1"/>
  <c r="P151" i="1" s="1"/>
  <c r="J35" i="33" s="1"/>
  <c r="O149" i="1"/>
  <c r="O151" i="1" s="1"/>
  <c r="I35" i="33" s="1"/>
  <c r="N149" i="1"/>
  <c r="N151" i="1" s="1"/>
  <c r="H35" i="33" s="1"/>
  <c r="M149" i="1"/>
  <c r="M151" i="1" s="1"/>
  <c r="G35" i="33" s="1"/>
  <c r="L149" i="1"/>
  <c r="L151" i="1" s="1"/>
  <c r="F35" i="33" s="1"/>
  <c r="K149" i="1"/>
  <c r="K151" i="1" s="1"/>
  <c r="E35" i="33" s="1"/>
  <c r="J149" i="1"/>
  <c r="J151" i="1" s="1"/>
  <c r="D35" i="33" s="1"/>
  <c r="T145" i="1"/>
  <c r="R144" i="1"/>
  <c r="R146" i="1" s="1"/>
  <c r="L34" i="33" s="1"/>
  <c r="Q144" i="1"/>
  <c r="Q146" i="1" s="1"/>
  <c r="K34" i="33" s="1"/>
  <c r="P144" i="1"/>
  <c r="P146" i="1" s="1"/>
  <c r="J34" i="33" s="1"/>
  <c r="O144" i="1"/>
  <c r="O146" i="1" s="1"/>
  <c r="I34" i="33" s="1"/>
  <c r="N144" i="1"/>
  <c r="N146" i="1" s="1"/>
  <c r="H34" i="33" s="1"/>
  <c r="M144" i="1"/>
  <c r="M146" i="1" s="1"/>
  <c r="G34" i="33" s="1"/>
  <c r="L144" i="1"/>
  <c r="L146" i="1" s="1"/>
  <c r="F34" i="33" s="1"/>
  <c r="K144" i="1"/>
  <c r="K146" i="1" s="1"/>
  <c r="E34" i="33" s="1"/>
  <c r="J144" i="1"/>
  <c r="J146" i="1" s="1"/>
  <c r="D34" i="33" s="1"/>
  <c r="T140" i="1"/>
  <c r="R139" i="1"/>
  <c r="R141" i="1" s="1"/>
  <c r="L33" i="33" s="1"/>
  <c r="Q139" i="1"/>
  <c r="Q141" i="1" s="1"/>
  <c r="K33" i="33" s="1"/>
  <c r="P139" i="1"/>
  <c r="P141" i="1" s="1"/>
  <c r="J33" i="33" s="1"/>
  <c r="O139" i="1"/>
  <c r="O141" i="1" s="1"/>
  <c r="I33" i="33" s="1"/>
  <c r="N139" i="1"/>
  <c r="N141" i="1" s="1"/>
  <c r="H33" i="33" s="1"/>
  <c r="M139" i="1"/>
  <c r="M141" i="1" s="1"/>
  <c r="G33" i="33" s="1"/>
  <c r="L139" i="1"/>
  <c r="L141" i="1" s="1"/>
  <c r="F33" i="33" s="1"/>
  <c r="K139" i="1"/>
  <c r="K141" i="1" s="1"/>
  <c r="E33" i="33" s="1"/>
  <c r="J139" i="1"/>
  <c r="J141" i="1" s="1"/>
  <c r="D33" i="33" s="1"/>
  <c r="T135" i="1"/>
  <c r="R134" i="1"/>
  <c r="R136" i="1" s="1"/>
  <c r="L32" i="33" s="1"/>
  <c r="Q134" i="1"/>
  <c r="Q136" i="1" s="1"/>
  <c r="K32" i="33" s="1"/>
  <c r="P134" i="1"/>
  <c r="P136" i="1" s="1"/>
  <c r="J32" i="33" s="1"/>
  <c r="O134" i="1"/>
  <c r="O136" i="1" s="1"/>
  <c r="I32" i="33" s="1"/>
  <c r="N134" i="1"/>
  <c r="N136" i="1" s="1"/>
  <c r="H32" i="33" s="1"/>
  <c r="M134" i="1"/>
  <c r="M136" i="1" s="1"/>
  <c r="G32" i="33" s="1"/>
  <c r="L134" i="1"/>
  <c r="L136" i="1" s="1"/>
  <c r="F32" i="33" s="1"/>
  <c r="K134" i="1"/>
  <c r="K136" i="1" s="1"/>
  <c r="E32" i="33" s="1"/>
  <c r="J134" i="1"/>
  <c r="J136" i="1" s="1"/>
  <c r="S136" i="1" s="1"/>
  <c r="M32" i="33" s="1"/>
  <c r="O32" i="33" s="1"/>
  <c r="T130" i="1"/>
  <c r="R129" i="1"/>
  <c r="R131" i="1" s="1"/>
  <c r="L31" i="33" s="1"/>
  <c r="Q129" i="1"/>
  <c r="Q131" i="1" s="1"/>
  <c r="K31" i="33" s="1"/>
  <c r="P129" i="1"/>
  <c r="P131" i="1" s="1"/>
  <c r="J31" i="33" s="1"/>
  <c r="O129" i="1"/>
  <c r="O131" i="1" s="1"/>
  <c r="I31" i="33" s="1"/>
  <c r="N129" i="1"/>
  <c r="N131" i="1" s="1"/>
  <c r="H31" i="33" s="1"/>
  <c r="M129" i="1"/>
  <c r="M131" i="1" s="1"/>
  <c r="G31" i="33" s="1"/>
  <c r="L129" i="1"/>
  <c r="L131" i="1" s="1"/>
  <c r="F31" i="33" s="1"/>
  <c r="K129" i="1"/>
  <c r="K131" i="1" s="1"/>
  <c r="E31" i="33" s="1"/>
  <c r="J129" i="1"/>
  <c r="J131" i="1" s="1"/>
  <c r="D31" i="33" s="1"/>
  <c r="T125" i="1"/>
  <c r="R124" i="1"/>
  <c r="R126" i="1" s="1"/>
  <c r="L30" i="33" s="1"/>
  <c r="Q124" i="1"/>
  <c r="Q126" i="1" s="1"/>
  <c r="K30" i="33" s="1"/>
  <c r="P124" i="1"/>
  <c r="P126" i="1" s="1"/>
  <c r="J30" i="33" s="1"/>
  <c r="O124" i="1"/>
  <c r="O126" i="1" s="1"/>
  <c r="I30" i="33" s="1"/>
  <c r="N124" i="1"/>
  <c r="N126" i="1" s="1"/>
  <c r="H30" i="33" s="1"/>
  <c r="M124" i="1"/>
  <c r="M126" i="1" s="1"/>
  <c r="G30" i="33" s="1"/>
  <c r="L124" i="1"/>
  <c r="L126" i="1" s="1"/>
  <c r="F30" i="33" s="1"/>
  <c r="K124" i="1"/>
  <c r="K126" i="1" s="1"/>
  <c r="E30" i="33" s="1"/>
  <c r="J124" i="1"/>
  <c r="J126" i="1" s="1"/>
  <c r="D30" i="33" s="1"/>
  <c r="T120" i="1"/>
  <c r="R119" i="1"/>
  <c r="R121" i="1" s="1"/>
  <c r="L29" i="33" s="1"/>
  <c r="Q119" i="1"/>
  <c r="Q121" i="1" s="1"/>
  <c r="K29" i="33" s="1"/>
  <c r="P119" i="1"/>
  <c r="P121" i="1" s="1"/>
  <c r="J29" i="33" s="1"/>
  <c r="O119" i="1"/>
  <c r="O121" i="1" s="1"/>
  <c r="I29" i="33" s="1"/>
  <c r="N119" i="1"/>
  <c r="N121" i="1" s="1"/>
  <c r="H29" i="33" s="1"/>
  <c r="M119" i="1"/>
  <c r="M121" i="1" s="1"/>
  <c r="G29" i="33" s="1"/>
  <c r="L119" i="1"/>
  <c r="L121" i="1" s="1"/>
  <c r="F29" i="33" s="1"/>
  <c r="K119" i="1"/>
  <c r="K121" i="1" s="1"/>
  <c r="E29" i="33" s="1"/>
  <c r="J119" i="1"/>
  <c r="J121" i="1" s="1"/>
  <c r="D29" i="33" s="1"/>
  <c r="T115" i="1"/>
  <c r="R114" i="1"/>
  <c r="R116" i="1" s="1"/>
  <c r="L28" i="33" s="1"/>
  <c r="Q114" i="1"/>
  <c r="Q116" i="1" s="1"/>
  <c r="K28" i="33" s="1"/>
  <c r="P114" i="1"/>
  <c r="P116" i="1" s="1"/>
  <c r="J28" i="33" s="1"/>
  <c r="O114" i="1"/>
  <c r="O116" i="1" s="1"/>
  <c r="I28" i="33" s="1"/>
  <c r="N114" i="1"/>
  <c r="N116" i="1" s="1"/>
  <c r="H28" i="33" s="1"/>
  <c r="M114" i="1"/>
  <c r="M116" i="1" s="1"/>
  <c r="G28" i="33" s="1"/>
  <c r="L114" i="1"/>
  <c r="L116" i="1" s="1"/>
  <c r="F28" i="33" s="1"/>
  <c r="K114" i="1"/>
  <c r="K116" i="1" s="1"/>
  <c r="E28" i="33" s="1"/>
  <c r="J114" i="1"/>
  <c r="T110" i="1"/>
  <c r="R109" i="1"/>
  <c r="R111" i="1" s="1"/>
  <c r="L27" i="33" s="1"/>
  <c r="Q109" i="1"/>
  <c r="Q111" i="1" s="1"/>
  <c r="K27" i="33" s="1"/>
  <c r="P109" i="1"/>
  <c r="P111" i="1" s="1"/>
  <c r="J27" i="33" s="1"/>
  <c r="O109" i="1"/>
  <c r="O111" i="1" s="1"/>
  <c r="I27" i="33" s="1"/>
  <c r="N109" i="1"/>
  <c r="N111" i="1" s="1"/>
  <c r="H27" i="33" s="1"/>
  <c r="M109" i="1"/>
  <c r="M111" i="1" s="1"/>
  <c r="G27" i="33" s="1"/>
  <c r="L109" i="1"/>
  <c r="L111" i="1" s="1"/>
  <c r="F27" i="33" s="1"/>
  <c r="K109" i="1"/>
  <c r="K111" i="1" s="1"/>
  <c r="E27" i="33" s="1"/>
  <c r="J109" i="1"/>
  <c r="J111" i="1" s="1"/>
  <c r="D27" i="33" s="1"/>
  <c r="T105" i="1"/>
  <c r="R104" i="1"/>
  <c r="R106" i="1" s="1"/>
  <c r="L26" i="33" s="1"/>
  <c r="Q104" i="1"/>
  <c r="Q106" i="1" s="1"/>
  <c r="K26" i="33" s="1"/>
  <c r="P104" i="1"/>
  <c r="P106" i="1" s="1"/>
  <c r="J26" i="33" s="1"/>
  <c r="O104" i="1"/>
  <c r="O106" i="1" s="1"/>
  <c r="I26" i="33" s="1"/>
  <c r="N104" i="1"/>
  <c r="N106" i="1" s="1"/>
  <c r="H26" i="33" s="1"/>
  <c r="M104" i="1"/>
  <c r="M106" i="1" s="1"/>
  <c r="G26" i="33" s="1"/>
  <c r="L104" i="1"/>
  <c r="L106" i="1" s="1"/>
  <c r="F26" i="33" s="1"/>
  <c r="K104" i="1"/>
  <c r="K106" i="1" s="1"/>
  <c r="E26" i="33" s="1"/>
  <c r="J104" i="1"/>
  <c r="J106" i="1" s="1"/>
  <c r="D26" i="33" s="1"/>
  <c r="T100" i="1"/>
  <c r="R99" i="1"/>
  <c r="R101" i="1" s="1"/>
  <c r="L25" i="33" s="1"/>
  <c r="Q99" i="1"/>
  <c r="Q101" i="1" s="1"/>
  <c r="K25" i="33" s="1"/>
  <c r="P99" i="1"/>
  <c r="P101" i="1" s="1"/>
  <c r="J25" i="33" s="1"/>
  <c r="O99" i="1"/>
  <c r="O101" i="1" s="1"/>
  <c r="I25" i="33" s="1"/>
  <c r="N99" i="1"/>
  <c r="N101" i="1" s="1"/>
  <c r="H25" i="33" s="1"/>
  <c r="M99" i="1"/>
  <c r="M101" i="1" s="1"/>
  <c r="G25" i="33" s="1"/>
  <c r="L99" i="1"/>
  <c r="K99" i="1"/>
  <c r="K101" i="1" s="1"/>
  <c r="E25" i="33" s="1"/>
  <c r="J99" i="1"/>
  <c r="J101" i="1" s="1"/>
  <c r="D25" i="33" s="1"/>
  <c r="T95" i="1"/>
  <c r="R94" i="1"/>
  <c r="R96" i="1" s="1"/>
  <c r="L24" i="33" s="1"/>
  <c r="Q94" i="1"/>
  <c r="Q96" i="1" s="1"/>
  <c r="K24" i="33" s="1"/>
  <c r="P94" i="1"/>
  <c r="P96" i="1" s="1"/>
  <c r="J24" i="33" s="1"/>
  <c r="O94" i="1"/>
  <c r="O96" i="1" s="1"/>
  <c r="I24" i="33" s="1"/>
  <c r="N94" i="1"/>
  <c r="N96" i="1" s="1"/>
  <c r="H24" i="33" s="1"/>
  <c r="M94" i="1"/>
  <c r="M96" i="1" s="1"/>
  <c r="G24" i="33" s="1"/>
  <c r="L94" i="1"/>
  <c r="L96" i="1" s="1"/>
  <c r="F24" i="33" s="1"/>
  <c r="K94" i="1"/>
  <c r="K96" i="1" s="1"/>
  <c r="E24" i="33" s="1"/>
  <c r="J94" i="1"/>
  <c r="J96" i="1" s="1"/>
  <c r="T90" i="1"/>
  <c r="R89" i="1"/>
  <c r="R91" i="1" s="1"/>
  <c r="L23" i="33" s="1"/>
  <c r="Q89" i="1"/>
  <c r="Q91" i="1" s="1"/>
  <c r="K23" i="33" s="1"/>
  <c r="P89" i="1"/>
  <c r="P91" i="1" s="1"/>
  <c r="J23" i="33" s="1"/>
  <c r="O89" i="1"/>
  <c r="O91" i="1" s="1"/>
  <c r="I23" i="33" s="1"/>
  <c r="N89" i="1"/>
  <c r="N91" i="1" s="1"/>
  <c r="H23" i="33" s="1"/>
  <c r="M89" i="1"/>
  <c r="M91" i="1" s="1"/>
  <c r="G23" i="33" s="1"/>
  <c r="L89" i="1"/>
  <c r="L91" i="1" s="1"/>
  <c r="F23" i="33" s="1"/>
  <c r="K89" i="1"/>
  <c r="K91" i="1" s="1"/>
  <c r="E23" i="33" s="1"/>
  <c r="J89" i="1"/>
  <c r="J91" i="1" s="1"/>
  <c r="D23" i="33" s="1"/>
  <c r="T85" i="1"/>
  <c r="R84" i="1"/>
  <c r="R86" i="1" s="1"/>
  <c r="L22" i="33" s="1"/>
  <c r="Q84" i="1"/>
  <c r="Q86" i="1" s="1"/>
  <c r="K22" i="33" s="1"/>
  <c r="P84" i="1"/>
  <c r="P86" i="1" s="1"/>
  <c r="J22" i="33" s="1"/>
  <c r="O84" i="1"/>
  <c r="O86" i="1" s="1"/>
  <c r="I22" i="33" s="1"/>
  <c r="N84" i="1"/>
  <c r="N86" i="1" s="1"/>
  <c r="H22" i="33" s="1"/>
  <c r="M84" i="1"/>
  <c r="M86" i="1" s="1"/>
  <c r="G22" i="33" s="1"/>
  <c r="L84" i="1"/>
  <c r="L86" i="1" s="1"/>
  <c r="F22" i="33" s="1"/>
  <c r="K84" i="1"/>
  <c r="K86" i="1" s="1"/>
  <c r="E22" i="33" s="1"/>
  <c r="J84" i="1"/>
  <c r="J86" i="1" s="1"/>
  <c r="D22" i="33" s="1"/>
  <c r="T80" i="1"/>
  <c r="R79" i="1"/>
  <c r="R81" i="1" s="1"/>
  <c r="L21" i="33" s="1"/>
  <c r="Q79" i="1"/>
  <c r="Q81" i="1" s="1"/>
  <c r="K21" i="33" s="1"/>
  <c r="P79" i="1"/>
  <c r="P81" i="1" s="1"/>
  <c r="J21" i="33" s="1"/>
  <c r="O79" i="1"/>
  <c r="O81" i="1" s="1"/>
  <c r="I21" i="33" s="1"/>
  <c r="N79" i="1"/>
  <c r="N81" i="1" s="1"/>
  <c r="H21" i="33" s="1"/>
  <c r="M79" i="1"/>
  <c r="M81" i="1" s="1"/>
  <c r="G21" i="33" s="1"/>
  <c r="L79" i="1"/>
  <c r="L81" i="1" s="1"/>
  <c r="F21" i="33" s="1"/>
  <c r="K79" i="1"/>
  <c r="K81" i="1" s="1"/>
  <c r="E21" i="33" s="1"/>
  <c r="J79" i="1"/>
  <c r="J81" i="1" s="1"/>
  <c r="D21" i="33" s="1"/>
  <c r="T75" i="1"/>
  <c r="R74" i="1"/>
  <c r="R76" i="1" s="1"/>
  <c r="L20" i="33" s="1"/>
  <c r="Q74" i="1"/>
  <c r="Q76" i="1" s="1"/>
  <c r="K20" i="33" s="1"/>
  <c r="P74" i="1"/>
  <c r="P76" i="1" s="1"/>
  <c r="J20" i="33" s="1"/>
  <c r="O74" i="1"/>
  <c r="O76" i="1" s="1"/>
  <c r="I20" i="33" s="1"/>
  <c r="N74" i="1"/>
  <c r="N76" i="1" s="1"/>
  <c r="H20" i="33" s="1"/>
  <c r="M74" i="1"/>
  <c r="M76" i="1" s="1"/>
  <c r="G20" i="33" s="1"/>
  <c r="L74" i="1"/>
  <c r="L76" i="1" s="1"/>
  <c r="F20" i="33" s="1"/>
  <c r="K74" i="1"/>
  <c r="K76" i="1" s="1"/>
  <c r="E20" i="33" s="1"/>
  <c r="J74" i="1"/>
  <c r="J76" i="1" s="1"/>
  <c r="T70" i="1"/>
  <c r="R69" i="1"/>
  <c r="R71" i="1" s="1"/>
  <c r="L19" i="33" s="1"/>
  <c r="Q69" i="1"/>
  <c r="Q71" i="1" s="1"/>
  <c r="K19" i="33" s="1"/>
  <c r="P69" i="1"/>
  <c r="P71" i="1" s="1"/>
  <c r="J19" i="33" s="1"/>
  <c r="O69" i="1"/>
  <c r="O71" i="1" s="1"/>
  <c r="I19" i="33" s="1"/>
  <c r="N69" i="1"/>
  <c r="N71" i="1" s="1"/>
  <c r="H19" i="33" s="1"/>
  <c r="M69" i="1"/>
  <c r="M71" i="1" s="1"/>
  <c r="G19" i="33" s="1"/>
  <c r="L69" i="1"/>
  <c r="L71" i="1" s="1"/>
  <c r="F19" i="33" s="1"/>
  <c r="K69" i="1"/>
  <c r="K71" i="1" s="1"/>
  <c r="E19" i="33" s="1"/>
  <c r="J69" i="1"/>
  <c r="J71" i="1" s="1"/>
  <c r="D19" i="33" s="1"/>
  <c r="T65" i="1"/>
  <c r="R64" i="1"/>
  <c r="R66" i="1" s="1"/>
  <c r="L18" i="33" s="1"/>
  <c r="Q64" i="1"/>
  <c r="Q66" i="1" s="1"/>
  <c r="K18" i="33" s="1"/>
  <c r="P64" i="1"/>
  <c r="P66" i="1" s="1"/>
  <c r="J18" i="33" s="1"/>
  <c r="O64" i="1"/>
  <c r="O66" i="1" s="1"/>
  <c r="I18" i="33" s="1"/>
  <c r="N64" i="1"/>
  <c r="N66" i="1" s="1"/>
  <c r="H18" i="33" s="1"/>
  <c r="M64" i="1"/>
  <c r="M66" i="1" s="1"/>
  <c r="G18" i="33" s="1"/>
  <c r="L64" i="1"/>
  <c r="L66" i="1" s="1"/>
  <c r="F18" i="33" s="1"/>
  <c r="K64" i="1"/>
  <c r="J64" i="1"/>
  <c r="T60" i="1"/>
  <c r="R59" i="1"/>
  <c r="R61" i="1" s="1"/>
  <c r="L17" i="33" s="1"/>
  <c r="Q59" i="1"/>
  <c r="Q61" i="1" s="1"/>
  <c r="K17" i="33" s="1"/>
  <c r="P59" i="1"/>
  <c r="P61" i="1" s="1"/>
  <c r="J17" i="33" s="1"/>
  <c r="O59" i="1"/>
  <c r="O61" i="1" s="1"/>
  <c r="I17" i="33" s="1"/>
  <c r="N59" i="1"/>
  <c r="N61" i="1" s="1"/>
  <c r="H17" i="33" s="1"/>
  <c r="M59" i="1"/>
  <c r="M61" i="1" s="1"/>
  <c r="G17" i="33" s="1"/>
  <c r="L59" i="1"/>
  <c r="L61" i="1" s="1"/>
  <c r="F17" i="33" s="1"/>
  <c r="K59" i="1"/>
  <c r="J59" i="1"/>
  <c r="J61" i="1" s="1"/>
  <c r="D17" i="33" s="1"/>
  <c r="T55" i="1"/>
  <c r="R54" i="1"/>
  <c r="R56" i="1" s="1"/>
  <c r="L16" i="33" s="1"/>
  <c r="Q54" i="1"/>
  <c r="Q56" i="1" s="1"/>
  <c r="K16" i="33" s="1"/>
  <c r="P54" i="1"/>
  <c r="P56" i="1" s="1"/>
  <c r="J16" i="33" s="1"/>
  <c r="O54" i="1"/>
  <c r="O56" i="1" s="1"/>
  <c r="I16" i="33" s="1"/>
  <c r="N54" i="1"/>
  <c r="N56" i="1" s="1"/>
  <c r="H16" i="33" s="1"/>
  <c r="M54" i="1"/>
  <c r="M56" i="1" s="1"/>
  <c r="G16" i="33" s="1"/>
  <c r="L54" i="1"/>
  <c r="L56" i="1" s="1"/>
  <c r="F16" i="33" s="1"/>
  <c r="K54" i="1"/>
  <c r="K56" i="1" s="1"/>
  <c r="E16" i="33" s="1"/>
  <c r="J54" i="1"/>
  <c r="J56" i="1" s="1"/>
  <c r="D16" i="33" s="1"/>
  <c r="T50" i="1"/>
  <c r="R49" i="1"/>
  <c r="R51" i="1" s="1"/>
  <c r="L15" i="33" s="1"/>
  <c r="Q49" i="1"/>
  <c r="Q51" i="1" s="1"/>
  <c r="K15" i="33" s="1"/>
  <c r="P49" i="1"/>
  <c r="P51" i="1" s="1"/>
  <c r="J15" i="33" s="1"/>
  <c r="O49" i="1"/>
  <c r="O51" i="1" s="1"/>
  <c r="I15" i="33" s="1"/>
  <c r="N49" i="1"/>
  <c r="N51" i="1" s="1"/>
  <c r="H15" i="33" s="1"/>
  <c r="M49" i="1"/>
  <c r="M51" i="1" s="1"/>
  <c r="G15" i="33" s="1"/>
  <c r="L49" i="1"/>
  <c r="K49" i="1"/>
  <c r="K51" i="1" s="1"/>
  <c r="E15" i="33" s="1"/>
  <c r="J49" i="1"/>
  <c r="J51" i="1" s="1"/>
  <c r="T45" i="1"/>
  <c r="R44" i="1"/>
  <c r="R46" i="1" s="1"/>
  <c r="L14" i="33" s="1"/>
  <c r="Q44" i="1"/>
  <c r="Q46" i="1" s="1"/>
  <c r="K14" i="33" s="1"/>
  <c r="P44" i="1"/>
  <c r="P46" i="1" s="1"/>
  <c r="J14" i="33" s="1"/>
  <c r="O44" i="1"/>
  <c r="O46" i="1" s="1"/>
  <c r="I14" i="33" s="1"/>
  <c r="N44" i="1"/>
  <c r="N46" i="1" s="1"/>
  <c r="H14" i="33" s="1"/>
  <c r="M44" i="1"/>
  <c r="M46" i="1" s="1"/>
  <c r="G14" i="33" s="1"/>
  <c r="L44" i="1"/>
  <c r="L46" i="1" s="1"/>
  <c r="F14" i="33" s="1"/>
  <c r="K44" i="1"/>
  <c r="K46" i="1" s="1"/>
  <c r="E14" i="33" s="1"/>
  <c r="J44" i="1"/>
  <c r="J46" i="1" s="1"/>
  <c r="D14" i="33" s="1"/>
  <c r="T40" i="1"/>
  <c r="R39" i="1"/>
  <c r="R41" i="1" s="1"/>
  <c r="L13" i="33" s="1"/>
  <c r="Q39" i="1"/>
  <c r="Q41" i="1" s="1"/>
  <c r="K13" i="33" s="1"/>
  <c r="P39" i="1"/>
  <c r="P41" i="1" s="1"/>
  <c r="J13" i="33" s="1"/>
  <c r="O39" i="1"/>
  <c r="O41" i="1" s="1"/>
  <c r="I13" i="33" s="1"/>
  <c r="N39" i="1"/>
  <c r="N41" i="1" s="1"/>
  <c r="H13" i="33" s="1"/>
  <c r="M39" i="1"/>
  <c r="M41" i="1" s="1"/>
  <c r="G13" i="33" s="1"/>
  <c r="L39" i="1"/>
  <c r="K39" i="1"/>
  <c r="K41" i="1" s="1"/>
  <c r="E13" i="33" s="1"/>
  <c r="J39" i="1"/>
  <c r="J41" i="1" s="1"/>
  <c r="D13" i="33" s="1"/>
  <c r="T35" i="1"/>
  <c r="R34" i="1"/>
  <c r="R36" i="1" s="1"/>
  <c r="L12" i="33" s="1"/>
  <c r="Q34" i="1"/>
  <c r="Q36" i="1" s="1"/>
  <c r="K12" i="33" s="1"/>
  <c r="P34" i="1"/>
  <c r="P36" i="1" s="1"/>
  <c r="J12" i="33" s="1"/>
  <c r="O34" i="1"/>
  <c r="O36" i="1" s="1"/>
  <c r="I12" i="33" s="1"/>
  <c r="N34" i="1"/>
  <c r="N36" i="1" s="1"/>
  <c r="H12" i="33" s="1"/>
  <c r="M34" i="1"/>
  <c r="M36" i="1" s="1"/>
  <c r="G12" i="33" s="1"/>
  <c r="L34" i="1"/>
  <c r="L36" i="1" s="1"/>
  <c r="F12" i="33" s="1"/>
  <c r="K34" i="1"/>
  <c r="K36" i="1" s="1"/>
  <c r="E12" i="33" s="1"/>
  <c r="J34" i="1"/>
  <c r="J36" i="1" s="1"/>
  <c r="D12" i="33" s="1"/>
  <c r="T30" i="1"/>
  <c r="R29" i="1"/>
  <c r="R31" i="1" s="1"/>
  <c r="L11" i="33" s="1"/>
  <c r="Q29" i="1"/>
  <c r="Q31" i="1" s="1"/>
  <c r="K11" i="33" s="1"/>
  <c r="P29" i="1"/>
  <c r="P31" i="1" s="1"/>
  <c r="J11" i="33" s="1"/>
  <c r="O29" i="1"/>
  <c r="O31" i="1" s="1"/>
  <c r="I11" i="33" s="1"/>
  <c r="N29" i="1"/>
  <c r="N31" i="1" s="1"/>
  <c r="H11" i="33" s="1"/>
  <c r="M29" i="1"/>
  <c r="M31" i="1" s="1"/>
  <c r="G11" i="33" s="1"/>
  <c r="L29" i="1"/>
  <c r="L31" i="1" s="1"/>
  <c r="F11" i="33" s="1"/>
  <c r="K29" i="1"/>
  <c r="K31" i="1" s="1"/>
  <c r="E11" i="33" s="1"/>
  <c r="J29" i="1"/>
  <c r="J31" i="1" s="1"/>
  <c r="T25" i="1"/>
  <c r="R24" i="1"/>
  <c r="R26" i="1" s="1"/>
  <c r="L10" i="33" s="1"/>
  <c r="Q24" i="1"/>
  <c r="Q26" i="1" s="1"/>
  <c r="K10" i="33" s="1"/>
  <c r="P24" i="1"/>
  <c r="P26" i="1" s="1"/>
  <c r="J10" i="33" s="1"/>
  <c r="O24" i="1"/>
  <c r="O26" i="1" s="1"/>
  <c r="I10" i="33" s="1"/>
  <c r="N24" i="1"/>
  <c r="N26" i="1" s="1"/>
  <c r="H10" i="33" s="1"/>
  <c r="M24" i="1"/>
  <c r="M26" i="1" s="1"/>
  <c r="G10" i="33" s="1"/>
  <c r="L24" i="1"/>
  <c r="L26" i="1" s="1"/>
  <c r="F10" i="33" s="1"/>
  <c r="K24" i="1"/>
  <c r="K26" i="1" s="1"/>
  <c r="E10" i="33" s="1"/>
  <c r="J24" i="1"/>
  <c r="J26" i="1" s="1"/>
  <c r="D10" i="33" s="1"/>
  <c r="T20" i="1"/>
  <c r="R19" i="1"/>
  <c r="R21" i="1" s="1"/>
  <c r="L9" i="33" s="1"/>
  <c r="Q19" i="1"/>
  <c r="Q21" i="1" s="1"/>
  <c r="K9" i="33" s="1"/>
  <c r="P19" i="1"/>
  <c r="P21" i="1" s="1"/>
  <c r="J9" i="33" s="1"/>
  <c r="O19" i="1"/>
  <c r="O21" i="1" s="1"/>
  <c r="I9" i="33" s="1"/>
  <c r="N19" i="1"/>
  <c r="N21" i="1" s="1"/>
  <c r="H9" i="33" s="1"/>
  <c r="M19" i="1"/>
  <c r="M21" i="1" s="1"/>
  <c r="G9" i="33" s="1"/>
  <c r="L19" i="1"/>
  <c r="L21" i="1" s="1"/>
  <c r="F9" i="33" s="1"/>
  <c r="K19" i="1"/>
  <c r="K21" i="1" s="1"/>
  <c r="E9" i="33" s="1"/>
  <c r="J19" i="1"/>
  <c r="J21" i="1" s="1"/>
  <c r="D9" i="33" s="1"/>
  <c r="T10" i="1"/>
  <c r="R9" i="1"/>
  <c r="R11" i="1" s="1"/>
  <c r="L7" i="33" s="1"/>
  <c r="Q9" i="1"/>
  <c r="Q11" i="1" s="1"/>
  <c r="K7" i="33" s="1"/>
  <c r="P9" i="1"/>
  <c r="P11" i="1" s="1"/>
  <c r="J7" i="33" s="1"/>
  <c r="O9" i="1"/>
  <c r="O11" i="1" s="1"/>
  <c r="I7" i="33" s="1"/>
  <c r="N9" i="1"/>
  <c r="N11" i="1" s="1"/>
  <c r="H7" i="33" s="1"/>
  <c r="M9" i="1"/>
  <c r="M11" i="1" s="1"/>
  <c r="G7" i="33" s="1"/>
  <c r="L9" i="1"/>
  <c r="L11" i="1" s="1"/>
  <c r="F7" i="33" s="1"/>
  <c r="K9" i="1"/>
  <c r="K11" i="1" s="1"/>
  <c r="E7" i="33" s="1"/>
  <c r="J9" i="1"/>
  <c r="J11" i="1" s="1"/>
  <c r="K14" i="1"/>
  <c r="K16" i="1" s="1"/>
  <c r="E8" i="33" s="1"/>
  <c r="L14" i="1"/>
  <c r="L16" i="1" s="1"/>
  <c r="F8" i="33" s="1"/>
  <c r="M14" i="1"/>
  <c r="M16" i="1" s="1"/>
  <c r="G8" i="33" s="1"/>
  <c r="N14" i="1"/>
  <c r="N16" i="1" s="1"/>
  <c r="H8" i="33" s="1"/>
  <c r="O14" i="1"/>
  <c r="O16" i="1" s="1"/>
  <c r="I8" i="33" s="1"/>
  <c r="P14" i="1"/>
  <c r="P16" i="1" s="1"/>
  <c r="J8" i="33" s="1"/>
  <c r="Q14" i="1"/>
  <c r="Q16" i="1" s="1"/>
  <c r="K8" i="33" s="1"/>
  <c r="R14" i="1"/>
  <c r="R16" i="1" s="1"/>
  <c r="L8" i="33" s="1"/>
  <c r="J14" i="1"/>
  <c r="J16" i="1" s="1"/>
  <c r="D8" i="33" s="1"/>
  <c r="B11" i="22"/>
  <c r="B10" i="22"/>
  <c r="F43" i="30"/>
  <c r="F42" i="30"/>
  <c r="S96" i="1" l="1"/>
  <c r="M24" i="33" s="1"/>
  <c r="S76" i="1"/>
  <c r="M20" i="33" s="1"/>
  <c r="S64" i="1"/>
  <c r="T114" i="1"/>
  <c r="S134" i="1"/>
  <c r="T39" i="1"/>
  <c r="S59" i="1"/>
  <c r="J166" i="1"/>
  <c r="D38" i="33" s="1"/>
  <c r="S94" i="1"/>
  <c r="S154" i="1"/>
  <c r="S184" i="1"/>
  <c r="T14" i="1"/>
  <c r="S124" i="1"/>
  <c r="S194" i="1"/>
  <c r="S144" i="1"/>
  <c r="S19" i="1"/>
  <c r="S29" i="1"/>
  <c r="S39" i="1"/>
  <c r="S49" i="1"/>
  <c r="S74" i="1"/>
  <c r="S84" i="1"/>
  <c r="S104" i="1"/>
  <c r="S114" i="1"/>
  <c r="S174" i="1"/>
  <c r="T64" i="1"/>
  <c r="T144" i="1"/>
  <c r="T184" i="1"/>
  <c r="S31" i="1"/>
  <c r="M11" i="33" s="1"/>
  <c r="T49" i="1"/>
  <c r="T59" i="1"/>
  <c r="T99" i="1"/>
  <c r="J116" i="1"/>
  <c r="S116" i="1" s="1"/>
  <c r="M28" i="33" s="1"/>
  <c r="O28" i="33" s="1"/>
  <c r="T174" i="1"/>
  <c r="S14" i="1"/>
  <c r="S24" i="1"/>
  <c r="S34" i="1"/>
  <c r="S44" i="1"/>
  <c r="S54" i="1"/>
  <c r="S69" i="1"/>
  <c r="S79" i="1"/>
  <c r="S89" i="1"/>
  <c r="S99" i="1"/>
  <c r="S109" i="1"/>
  <c r="S119" i="1"/>
  <c r="S129" i="1"/>
  <c r="S139" i="1"/>
  <c r="S149" i="1"/>
  <c r="S159" i="1"/>
  <c r="S169" i="1"/>
  <c r="S179" i="1"/>
  <c r="S189" i="1"/>
  <c r="S199" i="1"/>
  <c r="S11" i="1"/>
  <c r="M7" i="33" s="1"/>
  <c r="J66" i="1"/>
  <c r="D18" i="33" s="1"/>
  <c r="T164" i="1"/>
  <c r="T194" i="1"/>
  <c r="S16" i="1"/>
  <c r="M8" i="33" s="1"/>
  <c r="S36" i="1"/>
  <c r="M12" i="33" s="1"/>
  <c r="S56" i="1"/>
  <c r="M16" i="33" s="1"/>
  <c r="S81" i="1"/>
  <c r="M21" i="33" s="1"/>
  <c r="S121" i="1"/>
  <c r="M29" i="33" s="1"/>
  <c r="O29" i="33" s="1"/>
  <c r="S141" i="1"/>
  <c r="M33" i="33" s="1"/>
  <c r="O33" i="33" s="1"/>
  <c r="S161" i="1"/>
  <c r="M37" i="33" s="1"/>
  <c r="O37" i="33" s="1"/>
  <c r="S181" i="1"/>
  <c r="M41" i="33" s="1"/>
  <c r="O41" i="33" s="1"/>
  <c r="S201" i="1"/>
  <c r="M45" i="33" s="1"/>
  <c r="O45" i="33" s="1"/>
  <c r="S21" i="1"/>
  <c r="M9" i="33" s="1"/>
  <c r="S86" i="1"/>
  <c r="M22" i="33" s="1"/>
  <c r="S106" i="1"/>
  <c r="M26" i="33" s="1"/>
  <c r="S126" i="1"/>
  <c r="M30" i="33" s="1"/>
  <c r="O30" i="33" s="1"/>
  <c r="S146" i="1"/>
  <c r="M34" i="33" s="1"/>
  <c r="O34" i="33" s="1"/>
  <c r="S186" i="1"/>
  <c r="M42" i="33" s="1"/>
  <c r="O42" i="33" s="1"/>
  <c r="S26" i="1"/>
  <c r="M10" i="33" s="1"/>
  <c r="S46" i="1"/>
  <c r="M14" i="33" s="1"/>
  <c r="S71" i="1"/>
  <c r="M19" i="33" s="1"/>
  <c r="S91" i="1"/>
  <c r="M23" i="33" s="1"/>
  <c r="S111" i="1"/>
  <c r="M27" i="33" s="1"/>
  <c r="O27" i="33" s="1"/>
  <c r="S131" i="1"/>
  <c r="M31" i="33" s="1"/>
  <c r="O31" i="33" s="1"/>
  <c r="S151" i="1"/>
  <c r="M35" i="33" s="1"/>
  <c r="O35" i="33" s="1"/>
  <c r="S171" i="1"/>
  <c r="M39" i="33" s="1"/>
  <c r="O39" i="33" s="1"/>
  <c r="S191" i="1"/>
  <c r="M43" i="33" s="1"/>
  <c r="O43" i="33" s="1"/>
  <c r="D44" i="33"/>
  <c r="D40" i="33"/>
  <c r="D36" i="33"/>
  <c r="D32" i="33"/>
  <c r="D24" i="33"/>
  <c r="D20" i="33"/>
  <c r="D15" i="33"/>
  <c r="D11" i="33"/>
  <c r="D7" i="33"/>
  <c r="S206" i="1"/>
  <c r="T206" i="1"/>
  <c r="T204" i="1"/>
  <c r="S204" i="1"/>
  <c r="S9" i="1"/>
  <c r="T201" i="1"/>
  <c r="N45" i="33" s="1"/>
  <c r="T199" i="1"/>
  <c r="L196" i="1"/>
  <c r="T191" i="1"/>
  <c r="N43" i="33" s="1"/>
  <c r="T189" i="1"/>
  <c r="L186" i="1"/>
  <c r="T181" i="1"/>
  <c r="N41" i="33" s="1"/>
  <c r="T179" i="1"/>
  <c r="L176" i="1"/>
  <c r="T171" i="1"/>
  <c r="N39" i="33" s="1"/>
  <c r="T169" i="1"/>
  <c r="T161" i="1"/>
  <c r="N37" i="33" s="1"/>
  <c r="T159" i="1"/>
  <c r="T156" i="1"/>
  <c r="N36" i="33" s="1"/>
  <c r="T154" i="1"/>
  <c r="T151" i="1"/>
  <c r="N35" i="33" s="1"/>
  <c r="T149" i="1"/>
  <c r="T146" i="1"/>
  <c r="N34" i="33" s="1"/>
  <c r="T141" i="1"/>
  <c r="N33" i="33" s="1"/>
  <c r="T139" i="1"/>
  <c r="T136" i="1"/>
  <c r="N32" i="33" s="1"/>
  <c r="T134" i="1"/>
  <c r="T131" i="1"/>
  <c r="N31" i="33" s="1"/>
  <c r="T129" i="1"/>
  <c r="T126" i="1"/>
  <c r="N30" i="33" s="1"/>
  <c r="T124" i="1"/>
  <c r="T121" i="1"/>
  <c r="N29" i="33" s="1"/>
  <c r="T119" i="1"/>
  <c r="T116" i="1"/>
  <c r="N28" i="33" s="1"/>
  <c r="T111" i="1"/>
  <c r="N27" i="33" s="1"/>
  <c r="T109" i="1"/>
  <c r="T106" i="1"/>
  <c r="N26" i="33" s="1"/>
  <c r="T104" i="1"/>
  <c r="L101" i="1"/>
  <c r="S101" i="1" s="1"/>
  <c r="M25" i="33" s="1"/>
  <c r="T96" i="1"/>
  <c r="N24" i="33" s="1"/>
  <c r="T94" i="1"/>
  <c r="T91" i="1"/>
  <c r="N23" i="33" s="1"/>
  <c r="T89" i="1"/>
  <c r="T86" i="1"/>
  <c r="N22" i="33" s="1"/>
  <c r="T84" i="1"/>
  <c r="T81" i="1"/>
  <c r="N21" i="33" s="1"/>
  <c r="T79" i="1"/>
  <c r="T76" i="1"/>
  <c r="N20" i="33" s="1"/>
  <c r="T74" i="1"/>
  <c r="T71" i="1"/>
  <c r="N19" i="33" s="1"/>
  <c r="T69" i="1"/>
  <c r="K66" i="1"/>
  <c r="E18" i="33" s="1"/>
  <c r="K61" i="1"/>
  <c r="E17" i="33" s="1"/>
  <c r="T56" i="1"/>
  <c r="N16" i="33" s="1"/>
  <c r="T54" i="1"/>
  <c r="L51" i="1"/>
  <c r="T46" i="1"/>
  <c r="N14" i="33" s="1"/>
  <c r="T44" i="1"/>
  <c r="L41" i="1"/>
  <c r="F13" i="33" s="1"/>
  <c r="T36" i="1"/>
  <c r="N12" i="33" s="1"/>
  <c r="T34" i="1"/>
  <c r="T31" i="1"/>
  <c r="N11" i="33" s="1"/>
  <c r="T29" i="1"/>
  <c r="T26" i="1"/>
  <c r="N10" i="33" s="1"/>
  <c r="T24" i="1"/>
  <c r="T21" i="1"/>
  <c r="N9" i="33" s="1"/>
  <c r="T19" i="1"/>
  <c r="T11" i="1"/>
  <c r="N7" i="33" s="1"/>
  <c r="T9" i="1"/>
  <c r="F38" i="30"/>
  <c r="D28" i="33" l="1"/>
  <c r="S66" i="1"/>
  <c r="M18" i="33" s="1"/>
  <c r="T166" i="1"/>
  <c r="N38" i="33" s="1"/>
  <c r="S166" i="1"/>
  <c r="M38" i="33" s="1"/>
  <c r="O38" i="33" s="1"/>
  <c r="T51" i="1"/>
  <c r="N15" i="33" s="1"/>
  <c r="F15" i="33"/>
  <c r="S51" i="1"/>
  <c r="M15" i="33" s="1"/>
  <c r="T176" i="1"/>
  <c r="N40" i="33" s="1"/>
  <c r="F40" i="33"/>
  <c r="S41" i="1"/>
  <c r="M13" i="33" s="1"/>
  <c r="S61" i="1"/>
  <c r="M17" i="33" s="1"/>
  <c r="T186" i="1"/>
  <c r="N42" i="33" s="1"/>
  <c r="F42" i="33"/>
  <c r="T101" i="1"/>
  <c r="N25" i="33" s="1"/>
  <c r="F25" i="33"/>
  <c r="T196" i="1"/>
  <c r="N44" i="33" s="1"/>
  <c r="F44" i="33"/>
  <c r="T41" i="1"/>
  <c r="N13" i="33" s="1"/>
  <c r="T66" i="1"/>
  <c r="N18" i="33" s="1"/>
  <c r="T61" i="1"/>
  <c r="N17" i="33" s="1"/>
  <c r="E18" i="30"/>
  <c r="E17" i="30"/>
  <c r="E16" i="30"/>
  <c r="E15" i="30"/>
  <c r="E14" i="30"/>
  <c r="O25" i="33" l="1"/>
  <c r="O20" i="33"/>
  <c r="O19" i="33"/>
  <c r="O24" i="33"/>
  <c r="O23" i="33"/>
  <c r="O21" i="33"/>
  <c r="O26" i="33"/>
  <c r="O18" i="33"/>
  <c r="O22" i="33"/>
  <c r="E12" i="30"/>
  <c r="E40" i="12" l="1"/>
  <c r="E39" i="12"/>
  <c r="B30" i="12" l="1"/>
  <c r="B29" i="12"/>
  <c r="C28" i="12"/>
  <c r="B28" i="12"/>
  <c r="B27" i="12"/>
  <c r="C22" i="12"/>
  <c r="C21" i="12"/>
  <c r="B20" i="12"/>
  <c r="B7" i="12" l="1"/>
  <c r="A1" i="12" l="1"/>
  <c r="F35" i="11"/>
  <c r="F34" i="11"/>
  <c r="D21" i="11"/>
  <c r="D20" i="11"/>
  <c r="D19" i="11"/>
  <c r="D18" i="11"/>
  <c r="D17" i="11"/>
  <c r="D14" i="11"/>
  <c r="B10" i="11"/>
  <c r="L216" i="1"/>
  <c r="K59" i="33" s="1"/>
  <c r="G216" i="1"/>
  <c r="D59" i="33" s="1"/>
  <c r="L215" i="1"/>
  <c r="K58" i="33" s="1"/>
  <c r="G215" i="1"/>
  <c r="D58" i="33" s="1"/>
  <c r="M208" i="1"/>
  <c r="K52" i="33" s="1"/>
  <c r="T203" i="1"/>
  <c r="S203" i="1"/>
  <c r="T202" i="1"/>
  <c r="S202" i="1"/>
  <c r="B202" i="1"/>
  <c r="Z201" i="1"/>
  <c r="T198" i="1"/>
  <c r="S198" i="1"/>
  <c r="W197" i="1"/>
  <c r="T197" i="1"/>
  <c r="S197" i="1"/>
  <c r="B197" i="1"/>
  <c r="Z196" i="1"/>
  <c r="T193" i="1"/>
  <c r="S193" i="1"/>
  <c r="W192" i="1"/>
  <c r="T192" i="1"/>
  <c r="S192" i="1"/>
  <c r="B192" i="1"/>
  <c r="G192" i="1" s="1"/>
  <c r="C44" i="33" s="1"/>
  <c r="Z191" i="1"/>
  <c r="T188" i="1"/>
  <c r="S188" i="1"/>
  <c r="W187" i="1"/>
  <c r="T187" i="1"/>
  <c r="S187" i="1"/>
  <c r="B187" i="1"/>
  <c r="D191" i="1" s="1"/>
  <c r="E15" i="12" l="1"/>
  <c r="E14" i="12"/>
  <c r="G187" i="1"/>
  <c r="C43" i="33" s="1"/>
  <c r="D196" i="1"/>
  <c r="B44" i="33"/>
  <c r="G202" i="1"/>
  <c r="C46" i="33" s="1"/>
  <c r="C204" i="1"/>
  <c r="B46" i="33"/>
  <c r="C189" i="1"/>
  <c r="B43" i="33"/>
  <c r="C199" i="1"/>
  <c r="B45" i="33"/>
  <c r="E13" i="12"/>
  <c r="E11" i="12"/>
  <c r="E16" i="12"/>
  <c r="E12" i="12"/>
  <c r="C194" i="1"/>
  <c r="G197" i="1"/>
  <c r="C45" i="33" s="1"/>
  <c r="D206" i="1"/>
  <c r="D201" i="1"/>
  <c r="Z186" i="1"/>
  <c r="T183" i="1"/>
  <c r="S183" i="1"/>
  <c r="W182" i="1"/>
  <c r="T182" i="1"/>
  <c r="S182" i="1"/>
  <c r="B182" i="1"/>
  <c r="Z181" i="1"/>
  <c r="T178" i="1"/>
  <c r="S178" i="1"/>
  <c r="W177" i="1"/>
  <c r="T177" i="1"/>
  <c r="S177" i="1"/>
  <c r="B177" i="1"/>
  <c r="Z176" i="1"/>
  <c r="T173" i="1"/>
  <c r="S173" i="1"/>
  <c r="W172" i="1"/>
  <c r="T172" i="1"/>
  <c r="S172" i="1"/>
  <c r="B172" i="1"/>
  <c r="D176" i="1" s="1"/>
  <c r="Z171" i="1"/>
  <c r="T168" i="1"/>
  <c r="S168" i="1"/>
  <c r="W167" i="1"/>
  <c r="T167" i="1"/>
  <c r="S167" i="1"/>
  <c r="B167" i="1"/>
  <c r="Z166" i="1"/>
  <c r="T163" i="1"/>
  <c r="S163" i="1"/>
  <c r="W162" i="1"/>
  <c r="T162" i="1"/>
  <c r="S162" i="1"/>
  <c r="B162" i="1"/>
  <c r="Z161" i="1"/>
  <c r="C174" i="1" l="1"/>
  <c r="B40" i="33"/>
  <c r="C169" i="1"/>
  <c r="B39" i="33"/>
  <c r="D186" i="1"/>
  <c r="B42" i="33"/>
  <c r="G177" i="1"/>
  <c r="C41" i="33" s="1"/>
  <c r="D181" i="1"/>
  <c r="B41" i="33"/>
  <c r="G162" i="1"/>
  <c r="C38" i="33" s="1"/>
  <c r="B38" i="33"/>
  <c r="D166" i="1"/>
  <c r="D171" i="1"/>
  <c r="G167" i="1"/>
  <c r="C39" i="33" s="1"/>
  <c r="C179" i="1"/>
  <c r="G182" i="1"/>
  <c r="C42" i="33" s="1"/>
  <c r="C184" i="1"/>
  <c r="C164" i="1"/>
  <c r="G172" i="1"/>
  <c r="C40" i="33" s="1"/>
  <c r="T158" i="1"/>
  <c r="S158" i="1"/>
  <c r="W157" i="1"/>
  <c r="T157" i="1"/>
  <c r="S157" i="1"/>
  <c r="B157" i="1"/>
  <c r="B37" i="33" s="1"/>
  <c r="T153" i="1"/>
  <c r="S153" i="1"/>
  <c r="W152" i="1"/>
  <c r="T152" i="1"/>
  <c r="S152" i="1"/>
  <c r="B152" i="1"/>
  <c r="Z151" i="1"/>
  <c r="T148" i="1"/>
  <c r="S148" i="1"/>
  <c r="W147" i="1"/>
  <c r="T147" i="1"/>
  <c r="S147" i="1"/>
  <c r="B147" i="1"/>
  <c r="Z146" i="1"/>
  <c r="T143" i="1"/>
  <c r="S143" i="1"/>
  <c r="W142" i="1"/>
  <c r="T142" i="1"/>
  <c r="S142" i="1"/>
  <c r="B142" i="1"/>
  <c r="Z141" i="1"/>
  <c r="T138" i="1"/>
  <c r="S138" i="1"/>
  <c r="W137" i="1"/>
  <c r="T137" i="1"/>
  <c r="S137" i="1"/>
  <c r="B137" i="1"/>
  <c r="Z136" i="1"/>
  <c r="T133" i="1"/>
  <c r="S133" i="1"/>
  <c r="W132" i="1"/>
  <c r="T132" i="1"/>
  <c r="S132" i="1"/>
  <c r="B132" i="1"/>
  <c r="Z131" i="1"/>
  <c r="T128" i="1"/>
  <c r="S128" i="1"/>
  <c r="W127" i="1"/>
  <c r="T127" i="1"/>
  <c r="S127" i="1"/>
  <c r="B127" i="1"/>
  <c r="Z126" i="1"/>
  <c r="T123" i="1"/>
  <c r="S123" i="1"/>
  <c r="W122" i="1"/>
  <c r="T122" i="1"/>
  <c r="S122" i="1"/>
  <c r="B122" i="1"/>
  <c r="Z121" i="1"/>
  <c r="T118" i="1"/>
  <c r="S118" i="1"/>
  <c r="W117" i="1"/>
  <c r="T117" i="1"/>
  <c r="S117" i="1"/>
  <c r="B117" i="1"/>
  <c r="Z116" i="1"/>
  <c r="T113" i="1"/>
  <c r="S113" i="1"/>
  <c r="W112" i="1"/>
  <c r="T112" i="1"/>
  <c r="S112" i="1"/>
  <c r="B112" i="1"/>
  <c r="Z111" i="1"/>
  <c r="T108" i="1"/>
  <c r="S108" i="1"/>
  <c r="W107" i="1"/>
  <c r="T107" i="1"/>
  <c r="S107" i="1"/>
  <c r="B107" i="1"/>
  <c r="T103" i="1"/>
  <c r="S103" i="1"/>
  <c r="T102" i="1"/>
  <c r="S102" i="1"/>
  <c r="B102" i="1"/>
  <c r="Z101" i="1"/>
  <c r="T98" i="1"/>
  <c r="S98" i="1"/>
  <c r="T97" i="1"/>
  <c r="S97" i="1"/>
  <c r="B97" i="1"/>
  <c r="Z96" i="1"/>
  <c r="T93" i="1"/>
  <c r="S93" i="1"/>
  <c r="T92" i="1"/>
  <c r="S92" i="1"/>
  <c r="B92" i="1"/>
  <c r="Z91" i="1"/>
  <c r="T88" i="1"/>
  <c r="S88" i="1"/>
  <c r="T87" i="1"/>
  <c r="S87" i="1"/>
  <c r="B87" i="1"/>
  <c r="Z86" i="1"/>
  <c r="G157" i="1" l="1"/>
  <c r="C37" i="33" s="1"/>
  <c r="G117" i="1"/>
  <c r="C29" i="33" s="1"/>
  <c r="C94" i="1"/>
  <c r="B24" i="33"/>
  <c r="C129" i="1"/>
  <c r="B31" i="33"/>
  <c r="C144" i="1"/>
  <c r="B34" i="33"/>
  <c r="D96" i="1"/>
  <c r="G102" i="1"/>
  <c r="C26" i="33" s="1"/>
  <c r="D131" i="1"/>
  <c r="C89" i="1"/>
  <c r="B23" i="33"/>
  <c r="C104" i="1"/>
  <c r="B26" i="33"/>
  <c r="Z106" i="1"/>
  <c r="B27" i="33"/>
  <c r="C124" i="1"/>
  <c r="B30" i="33"/>
  <c r="D141" i="1"/>
  <c r="B33" i="33"/>
  <c r="D111" i="1"/>
  <c r="C99" i="1"/>
  <c r="B25" i="33"/>
  <c r="C119" i="1"/>
  <c r="B29" i="33"/>
  <c r="D136" i="1"/>
  <c r="B32" i="33"/>
  <c r="D156" i="1"/>
  <c r="B36" i="33"/>
  <c r="C114" i="1"/>
  <c r="B28" i="33"/>
  <c r="C149" i="1"/>
  <c r="B35" i="33"/>
  <c r="C139" i="1"/>
  <c r="G92" i="1"/>
  <c r="C24" i="33" s="1"/>
  <c r="D101" i="1"/>
  <c r="G107" i="1"/>
  <c r="C27" i="33" s="1"/>
  <c r="C109" i="1"/>
  <c r="G152" i="1"/>
  <c r="C36" i="33" s="1"/>
  <c r="D91" i="1"/>
  <c r="G97" i="1"/>
  <c r="C25" i="33" s="1"/>
  <c r="D106" i="1"/>
  <c r="G112" i="1"/>
  <c r="C28" i="33" s="1"/>
  <c r="D121" i="1"/>
  <c r="D126" i="1"/>
  <c r="G132" i="1"/>
  <c r="C32" i="33" s="1"/>
  <c r="C134" i="1"/>
  <c r="G137" i="1"/>
  <c r="C33" i="33" s="1"/>
  <c r="D146" i="1"/>
  <c r="D151" i="1"/>
  <c r="C154" i="1"/>
  <c r="Z156" i="1"/>
  <c r="D161" i="1"/>
  <c r="G87" i="1"/>
  <c r="C23" i="33" s="1"/>
  <c r="D116" i="1"/>
  <c r="G122" i="1"/>
  <c r="C30" i="33" s="1"/>
  <c r="G127" i="1"/>
  <c r="C31" i="33" s="1"/>
  <c r="G142" i="1"/>
  <c r="C34" i="33" s="1"/>
  <c r="G147" i="1"/>
  <c r="C35" i="33" s="1"/>
  <c r="C159" i="1"/>
  <c r="T83" i="1"/>
  <c r="S83" i="1"/>
  <c r="T82" i="1"/>
  <c r="S82" i="1"/>
  <c r="B82" i="1"/>
  <c r="Z81" i="1"/>
  <c r="T78" i="1"/>
  <c r="S78" i="1"/>
  <c r="T77" i="1"/>
  <c r="S77" i="1"/>
  <c r="B77" i="1"/>
  <c r="Z76" i="1"/>
  <c r="T73" i="1"/>
  <c r="S73" i="1"/>
  <c r="T72" i="1"/>
  <c r="S72" i="1"/>
  <c r="B72" i="1"/>
  <c r="T68" i="1"/>
  <c r="S68" i="1"/>
  <c r="T67" i="1"/>
  <c r="S67" i="1"/>
  <c r="B67" i="1"/>
  <c r="Z66" i="1"/>
  <c r="T63" i="1"/>
  <c r="S63" i="1"/>
  <c r="D86" i="1" l="1"/>
  <c r="B22" i="33"/>
  <c r="D81" i="1"/>
  <c r="B21" i="33"/>
  <c r="C69" i="1"/>
  <c r="B19" i="33"/>
  <c r="Z71" i="1"/>
  <c r="B20" i="33"/>
  <c r="G82" i="1"/>
  <c r="C22" i="33" s="1"/>
  <c r="C84" i="1"/>
  <c r="C79" i="1"/>
  <c r="D71" i="1"/>
  <c r="D76" i="1"/>
  <c r="G72" i="1"/>
  <c r="C20" i="33" s="1"/>
  <c r="C74" i="1"/>
  <c r="G67" i="1"/>
  <c r="C19" i="33" s="1"/>
  <c r="G77" i="1"/>
  <c r="C21" i="33" s="1"/>
  <c r="T62" i="1"/>
  <c r="S62" i="1"/>
  <c r="B62" i="1"/>
  <c r="B18" i="33" s="1"/>
  <c r="Z61" i="1"/>
  <c r="T58" i="1"/>
  <c r="S58" i="1"/>
  <c r="T57" i="1"/>
  <c r="S57" i="1"/>
  <c r="B57" i="1"/>
  <c r="Z56" i="1"/>
  <c r="T53" i="1"/>
  <c r="S53" i="1"/>
  <c r="T52" i="1"/>
  <c r="S52" i="1"/>
  <c r="B52" i="1"/>
  <c r="Z51" i="1"/>
  <c r="T48" i="1"/>
  <c r="S48" i="1"/>
  <c r="T47" i="1"/>
  <c r="S47" i="1"/>
  <c r="B47" i="1"/>
  <c r="G47" i="1" s="1"/>
  <c r="C15" i="33" s="1"/>
  <c r="Z46" i="1"/>
  <c r="T43" i="1"/>
  <c r="S43" i="1"/>
  <c r="T42" i="1"/>
  <c r="S42" i="1"/>
  <c r="B42" i="1"/>
  <c r="D46" i="1" s="1"/>
  <c r="Z41" i="1"/>
  <c r="T38" i="1"/>
  <c r="S38" i="1"/>
  <c r="T37" i="1"/>
  <c r="S37" i="1"/>
  <c r="B37" i="1"/>
  <c r="B13" i="33" s="1"/>
  <c r="Z36" i="1"/>
  <c r="T33" i="1"/>
  <c r="S33" i="1"/>
  <c r="T32" i="1"/>
  <c r="S32" i="1"/>
  <c r="B32" i="1"/>
  <c r="Z31" i="1"/>
  <c r="T28" i="1"/>
  <c r="S28" i="1"/>
  <c r="T27" i="1"/>
  <c r="S27" i="1"/>
  <c r="B27" i="1"/>
  <c r="D31" i="1" s="1"/>
  <c r="Z26" i="1"/>
  <c r="T23" i="1"/>
  <c r="S23" i="1"/>
  <c r="T22" i="1"/>
  <c r="S22" i="1"/>
  <c r="B22" i="1"/>
  <c r="Z21" i="1"/>
  <c r="T18" i="1"/>
  <c r="S18" i="1"/>
  <c r="T17" i="1"/>
  <c r="S17" i="1"/>
  <c r="B17" i="1"/>
  <c r="T15" i="1"/>
  <c r="AC13" i="1"/>
  <c r="T13" i="1"/>
  <c r="S13" i="1"/>
  <c r="AC12" i="1"/>
  <c r="T12" i="1"/>
  <c r="S12" i="1"/>
  <c r="B12" i="1"/>
  <c r="AC11" i="1"/>
  <c r="AC10" i="1"/>
  <c r="AC9" i="1"/>
  <c r="AC8" i="1"/>
  <c r="T8" i="1"/>
  <c r="S8" i="1"/>
  <c r="T7" i="1"/>
  <c r="S7" i="1"/>
  <c r="B7" i="1"/>
  <c r="P6" i="1"/>
  <c r="K6" i="1"/>
  <c r="B3" i="1"/>
  <c r="B3" i="33" s="1"/>
  <c r="B2" i="1"/>
  <c r="B2" i="33" s="1"/>
  <c r="D15" i="31"/>
  <c r="C19" i="1" l="1"/>
  <c r="B9" i="33"/>
  <c r="D26" i="1"/>
  <c r="B10" i="33"/>
  <c r="C29" i="1"/>
  <c r="B11" i="33"/>
  <c r="C44" i="1"/>
  <c r="B14" i="33"/>
  <c r="G57" i="1"/>
  <c r="C17" i="33" s="1"/>
  <c r="B17" i="33"/>
  <c r="G17" i="1"/>
  <c r="C9" i="33" s="1"/>
  <c r="C54" i="1"/>
  <c r="B16" i="33"/>
  <c r="D16" i="1"/>
  <c r="B8" i="33"/>
  <c r="D11" i="1"/>
  <c r="B7" i="33"/>
  <c r="D21" i="1"/>
  <c r="G37" i="1"/>
  <c r="C13" i="33" s="1"/>
  <c r="D41" i="1"/>
  <c r="D56" i="1"/>
  <c r="C34" i="1"/>
  <c r="B12" i="33"/>
  <c r="D51" i="1"/>
  <c r="B15" i="33"/>
  <c r="C14" i="1"/>
  <c r="G27" i="1"/>
  <c r="C11" i="33" s="1"/>
  <c r="C39" i="1"/>
  <c r="C49" i="1"/>
  <c r="C24" i="1"/>
  <c r="G52" i="1"/>
  <c r="C16" i="33" s="1"/>
  <c r="G62" i="1"/>
  <c r="C18" i="33" s="1"/>
  <c r="C64" i="1"/>
  <c r="D66" i="1"/>
  <c r="C9" i="1"/>
  <c r="D36" i="1"/>
  <c r="G12" i="1"/>
  <c r="C8" i="33" s="1"/>
  <c r="G42" i="1"/>
  <c r="C14" i="33" s="1"/>
  <c r="D61" i="1"/>
  <c r="G7" i="1"/>
  <c r="C7" i="33" s="1"/>
  <c r="G22" i="1"/>
  <c r="C10" i="33" s="1"/>
  <c r="G32" i="1"/>
  <c r="C12" i="33" s="1"/>
  <c r="C59" i="1"/>
  <c r="G45" i="8"/>
  <c r="G44" i="8"/>
  <c r="G46" i="8" s="1"/>
  <c r="D5" i="9"/>
  <c r="D4" i="9"/>
  <c r="D3" i="9"/>
  <c r="H29" i="30" l="1"/>
  <c r="H27" i="30"/>
  <c r="H28" i="30"/>
  <c r="H30" i="30"/>
  <c r="H24" i="30"/>
  <c r="H31" i="30"/>
  <c r="H26" i="30"/>
  <c r="H33" i="30"/>
  <c r="H25" i="30"/>
  <c r="H35" i="30" l="1"/>
  <c r="Z11" i="1"/>
  <c r="F31" i="12" l="1"/>
  <c r="F29" i="12"/>
  <c r="F28" i="12"/>
  <c r="F26" i="12"/>
  <c r="F25" i="12"/>
  <c r="F24" i="12"/>
  <c r="F23" i="12"/>
  <c r="F22" i="12"/>
  <c r="T16" i="1" l="1"/>
  <c r="F21" i="12"/>
  <c r="F34" i="12" s="1"/>
  <c r="Z16" i="1" l="1"/>
  <c r="N8" i="33"/>
  <c r="Z206" i="1"/>
  <c r="N46" i="33"/>
  <c r="F46" i="33"/>
  <c r="F49" i="33" s="1"/>
  <c r="J46" i="33"/>
  <c r="J49" i="33" s="1"/>
  <c r="M46" i="33"/>
  <c r="D46" i="33"/>
  <c r="D48" i="33" s="1"/>
  <c r="E46" i="33"/>
  <c r="E47" i="33" s="1"/>
  <c r="G46" i="33"/>
  <c r="G50" i="33" s="1"/>
  <c r="K46" i="33"/>
  <c r="K50" i="33" s="1"/>
  <c r="H46" i="33"/>
  <c r="H50" i="33" s="1"/>
  <c r="L46" i="33"/>
  <c r="L50" i="33" s="1"/>
  <c r="W202" i="1"/>
  <c r="I46" i="33"/>
  <c r="I47" i="33" s="1"/>
  <c r="W22" i="1" l="1"/>
  <c r="W82" i="1"/>
  <c r="W72" i="1"/>
  <c r="W67" i="1"/>
  <c r="W102" i="1"/>
  <c r="W77" i="1"/>
  <c r="W87" i="1"/>
  <c r="W62" i="1"/>
  <c r="W92" i="1"/>
  <c r="W97" i="1"/>
  <c r="W52" i="1"/>
  <c r="L49" i="33"/>
  <c r="N48" i="33"/>
  <c r="W32" i="1"/>
  <c r="W17" i="1"/>
  <c r="D50" i="33"/>
  <c r="F50" i="33"/>
  <c r="W47" i="1"/>
  <c r="W57" i="1"/>
  <c r="W37" i="1"/>
  <c r="D47" i="33"/>
  <c r="W12" i="1"/>
  <c r="W42" i="1"/>
  <c r="N50" i="33"/>
  <c r="W27" i="1"/>
  <c r="W7" i="1"/>
  <c r="F48" i="33"/>
  <c r="K48" i="33"/>
  <c r="F47" i="33"/>
  <c r="D49" i="33"/>
  <c r="L47" i="33"/>
  <c r="H49" i="33"/>
  <c r="G49" i="33"/>
  <c r="N49" i="33"/>
  <c r="H47" i="33"/>
  <c r="E49" i="33"/>
  <c r="J48" i="33"/>
  <c r="N47" i="33"/>
  <c r="L48" i="33"/>
  <c r="H48" i="33"/>
  <c r="G47" i="33"/>
  <c r="E48" i="33"/>
  <c r="M49" i="33"/>
  <c r="O46" i="33"/>
  <c r="O11" i="33"/>
  <c r="O8" i="33"/>
  <c r="O12" i="33"/>
  <c r="O15" i="33"/>
  <c r="O10" i="33"/>
  <c r="O16" i="33"/>
  <c r="O13" i="33"/>
  <c r="O14" i="33"/>
  <c r="O7" i="33"/>
  <c r="O17" i="33"/>
  <c r="O9" i="33"/>
  <c r="I50" i="33"/>
  <c r="M47" i="33"/>
  <c r="J47" i="33"/>
  <c r="M48" i="33"/>
  <c r="J50" i="33"/>
  <c r="G48" i="33"/>
  <c r="E50" i="33"/>
  <c r="K49" i="33"/>
  <c r="I49" i="33"/>
  <c r="K47" i="33"/>
  <c r="I48" i="33"/>
  <c r="M50" i="33"/>
</calcChain>
</file>

<file path=xl/comments1.xml><?xml version="1.0" encoding="utf-8"?>
<comments xmlns="http://schemas.openxmlformats.org/spreadsheetml/2006/main">
  <authors>
    <author>toshiba</author>
  </authors>
  <commentList>
    <comment ref="J7" authorId="0">
      <text>
        <r>
          <rPr>
            <b/>
            <sz val="9"/>
            <color indexed="81"/>
            <rFont val="Tahoma"/>
            <family val="2"/>
          </rPr>
          <t>Isilah data pada bagian:
1. Data Siswa dan Sekolah
2. Isi KKM
3. Leger Nilai
Bagian sheet lainnya bisa dicetak langsung:
1. Ijazah Depan dan Belakang
2. Surat Keterangan Lulus
Jika ada masalah dalam Aplikasi Pengisian,  Hub.: 085747117961 ( Sumardi : SDN Kalikepek Kapanewom Wates)</t>
        </r>
      </text>
    </comment>
  </commentList>
</comments>
</file>

<file path=xl/comments2.xml><?xml version="1.0" encoding="utf-8"?>
<comments xmlns="http://schemas.openxmlformats.org/spreadsheetml/2006/main">
  <authors>
    <author>toshiba</author>
  </authors>
  <commentList>
    <comment ref="I1" authorId="0">
      <text>
        <r>
          <rPr>
            <b/>
            <sz val="9"/>
            <color indexed="81"/>
            <rFont val="Tahoma"/>
            <family val="2"/>
          </rPr>
          <t>* Nama Siswa ditulis pakai huruf kapital semua sesuai Akta Kelahiran 
* Untuk menulis NISN diawali dengan tanda koma atas ' baru diketikkan nomor NJSN siswa. Contoh: '0088941863
* Nama orang tua ditulis sesuai yang di Surat Akta Kelahiran anak</t>
        </r>
      </text>
    </comment>
    <comment ref="E2" authorId="0">
      <text>
        <r>
          <rPr>
            <sz val="9"/>
            <color indexed="81"/>
            <rFont val="Tahoma"/>
            <charset val="1"/>
          </rPr>
          <t xml:space="preserve">nama siswa pemilik Ijazah 
menggunakan huruf kapital seluruhnya. Nama harus sama
dengan yang tercantum pada akta kelahiran/dokumen
kelahiran yang sah sesuai dengan peraturan perundangundangan
atau Ijazah yang diperoleh dari Satuan
Pendidikan jenjang di bawahnya. 
Contoh : BUDI DARMONO
8) Angka  6 diisi dengan tempat dan tanggal la
</t>
        </r>
      </text>
    </comment>
    <comment ref="F2" authorId="0">
      <text>
        <r>
          <rPr>
            <b/>
            <sz val="9"/>
            <color indexed="81"/>
            <rFont val="Tahoma"/>
            <charset val="1"/>
          </rPr>
          <t>Tempat dan tanggal lahir harus sama dengan yang
tercantum pada akta kelahiran/dokumen kelahiran yang
sah sesuai dengan peraturan perundang-undangan atau
Ijazah yang diperoleh dari Satuan Pendidikan jenjang di
bawahnya. 
      Contoh: Kota Serang, 17 Januari 2005</t>
        </r>
      </text>
    </comment>
    <comment ref="E63" authorId="0">
      <text>
        <r>
          <rPr>
            <sz val="9"/>
            <color indexed="81"/>
            <rFont val="Tahoma"/>
            <family val="2"/>
          </rPr>
          <t xml:space="preserve">Isi dengan angka 2013 atau 2006
</t>
        </r>
      </text>
    </comment>
    <comment ref="E69" authorId="0">
      <text>
        <r>
          <rPr>
            <sz val="9"/>
            <color indexed="81"/>
            <rFont val="Tahoma"/>
            <charset val="1"/>
          </rPr>
          <t xml:space="preserve">Penulisan tanggal yang terdiri 1 digit ditulis
tanpa angka “0” di depan. Penulisan bulan ditulis lengkap
dengan huruf, huruf awal ditulis kapital. 
Contoh penulisan tanggal : 1 Juli 2022.
</t>
        </r>
      </text>
    </comment>
  </commentList>
</comments>
</file>

<file path=xl/comments3.xml><?xml version="1.0" encoding="utf-8"?>
<comments xmlns="http://schemas.openxmlformats.org/spreadsheetml/2006/main">
  <authors>
    <author>toshiba</author>
  </authors>
  <commentList>
    <comment ref="X1" authorId="0">
      <text>
        <r>
          <rPr>
            <b/>
            <sz val="9"/>
            <color indexed="81"/>
            <rFont val="Tahoma"/>
            <family val="2"/>
          </rPr>
          <t xml:space="preserve">PETUNJUK:
* Nilai Ijazah diperoleh :
    a. Menggabungkan nilai rata-rata rapor 
        kelas 6 (semester 1 dan
         semester 2) dengan nilai ujian 
         sekolah berdasarkan pembobotan 
         tertentu
     b. Bobot nilai rata-rata rapor dan nilai 
         ujian sekolah ditentukan sendiri oleh 
         sekolah.
        ( contoh= 50:50 atau 60:40)
* Untuk Pembobotan dapat diisikan pada 
   sel yang berwarna kuning.
*  Jika jumlah siswa hanya sedikit baris 
    yang tidak dipakai bisa disembunyikan 
    (hide)
</t>
        </r>
      </text>
    </comment>
    <comment ref="W5" authorId="0">
      <text>
        <r>
          <rPr>
            <b/>
            <sz val="9"/>
            <color indexed="81"/>
            <rFont val="Tahoma"/>
            <family val="2"/>
          </rPr>
          <t>Peringkat bisa disembunyikan (hide) kalau dipandang tidak perlu</t>
        </r>
      </text>
    </comment>
    <comment ref="H10" authorId="0">
      <text>
        <r>
          <rPr>
            <b/>
            <sz val="9"/>
            <color indexed="81"/>
            <rFont val="Tahoma"/>
            <family val="2"/>
          </rPr>
          <t>Isikan Nilai Ujian SekolahTertulis</t>
        </r>
      </text>
    </comment>
    <comment ref="H11" authorId="0">
      <text>
        <r>
          <rPr>
            <b/>
            <sz val="9"/>
            <color indexed="81"/>
            <rFont val="Tahoma"/>
            <family val="2"/>
          </rPr>
          <t>Nilai Ijazah diperoleh dari gabungan portofolio dan Tes dengan bobot ditentukan oleh sekolah sendiri</t>
        </r>
      </text>
    </comment>
    <comment ref="H15" authorId="0">
      <text>
        <r>
          <rPr>
            <b/>
            <sz val="9"/>
            <color indexed="81"/>
            <rFont val="Tahoma"/>
            <family val="2"/>
          </rPr>
          <t>Isikan Nilai Ujian SekolahTertulis</t>
        </r>
      </text>
    </comment>
    <comment ref="H16" authorId="0">
      <text>
        <r>
          <rPr>
            <b/>
            <sz val="9"/>
            <color indexed="81"/>
            <rFont val="Tahoma"/>
            <family val="2"/>
          </rPr>
          <t>Nilai Ijazah diperoleh dari gabungan portofolio dan Tes dengan bobot ditentukan oleh sekolah sendiri</t>
        </r>
      </text>
    </comment>
    <comment ref="H20" authorId="0">
      <text>
        <r>
          <rPr>
            <b/>
            <sz val="9"/>
            <color indexed="81"/>
            <rFont val="Tahoma"/>
            <family val="2"/>
          </rPr>
          <t>Isikan Nilai Ujian SekolahTertulis</t>
        </r>
      </text>
    </comment>
    <comment ref="H21" authorId="0">
      <text>
        <r>
          <rPr>
            <b/>
            <sz val="9"/>
            <color indexed="81"/>
            <rFont val="Tahoma"/>
            <family val="2"/>
          </rPr>
          <t>Nilai Ijazah diperoleh dari gabungan portofolio dan Tes dengan bobot ditentukan oleh sekolah sendiri</t>
        </r>
      </text>
    </comment>
    <comment ref="H25" authorId="0">
      <text>
        <r>
          <rPr>
            <b/>
            <sz val="9"/>
            <color indexed="81"/>
            <rFont val="Tahoma"/>
            <family val="2"/>
          </rPr>
          <t>Isikan Nilai Ujian SekolahTertulis</t>
        </r>
      </text>
    </comment>
    <comment ref="H26" authorId="0">
      <text>
        <r>
          <rPr>
            <b/>
            <sz val="9"/>
            <color indexed="81"/>
            <rFont val="Tahoma"/>
            <family val="2"/>
          </rPr>
          <t>Nilai Ijazah diperoleh dari gabungan portofolio dan Tes dengan bobot ditentukan oleh sekolah sendiri</t>
        </r>
      </text>
    </comment>
    <comment ref="H30" authorId="0">
      <text>
        <r>
          <rPr>
            <b/>
            <sz val="9"/>
            <color indexed="81"/>
            <rFont val="Tahoma"/>
            <family val="2"/>
          </rPr>
          <t>Isikan Nilai Ujian SekolahTertulis</t>
        </r>
      </text>
    </comment>
    <comment ref="H31" authorId="0">
      <text>
        <r>
          <rPr>
            <b/>
            <sz val="9"/>
            <color indexed="81"/>
            <rFont val="Tahoma"/>
            <family val="2"/>
          </rPr>
          <t>Nilai Ijazah diperoleh dari gabungan portofolio dan Tes dengan bobot ditentukan oleh sekolah sendiri</t>
        </r>
      </text>
    </comment>
    <comment ref="H35" authorId="0">
      <text>
        <r>
          <rPr>
            <b/>
            <sz val="9"/>
            <color indexed="81"/>
            <rFont val="Tahoma"/>
            <family val="2"/>
          </rPr>
          <t>Isikan Nilai Ujian SekolahTertulis</t>
        </r>
      </text>
    </comment>
    <comment ref="H36" authorId="0">
      <text>
        <r>
          <rPr>
            <b/>
            <sz val="9"/>
            <color indexed="81"/>
            <rFont val="Tahoma"/>
            <family val="2"/>
          </rPr>
          <t>Nilai Ijazah diperoleh dari gabungan portofolio dan Tes dengan bobot ditentukan oleh sekolah sendiri</t>
        </r>
      </text>
    </comment>
    <comment ref="H40" authorId="0">
      <text>
        <r>
          <rPr>
            <b/>
            <sz val="9"/>
            <color indexed="81"/>
            <rFont val="Tahoma"/>
            <family val="2"/>
          </rPr>
          <t>Isikan Nilai Ujian SekolahTertulis</t>
        </r>
      </text>
    </comment>
    <comment ref="H41" authorId="0">
      <text>
        <r>
          <rPr>
            <b/>
            <sz val="9"/>
            <color indexed="81"/>
            <rFont val="Tahoma"/>
            <family val="2"/>
          </rPr>
          <t>Nilai Ijazah diperoleh dari gabungan portofolio dan Tes dengan bobot ditentukan oleh sekolah sendiri</t>
        </r>
      </text>
    </comment>
    <comment ref="H45" authorId="0">
      <text>
        <r>
          <rPr>
            <b/>
            <sz val="9"/>
            <color indexed="81"/>
            <rFont val="Tahoma"/>
            <family val="2"/>
          </rPr>
          <t>Isikan Nilai Ujian SekolahTertulis</t>
        </r>
      </text>
    </comment>
    <comment ref="H46" authorId="0">
      <text>
        <r>
          <rPr>
            <b/>
            <sz val="9"/>
            <color indexed="81"/>
            <rFont val="Tahoma"/>
            <family val="2"/>
          </rPr>
          <t>Nilai Ijazah diperoleh dari gabungan portofolio dan Tes dengan bobot ditentukan oleh sekolah sendiri</t>
        </r>
      </text>
    </comment>
    <comment ref="H50" authorId="0">
      <text>
        <r>
          <rPr>
            <b/>
            <sz val="9"/>
            <color indexed="81"/>
            <rFont val="Tahoma"/>
            <family val="2"/>
          </rPr>
          <t>Isikan Nilai Ujian SekolahTertulis</t>
        </r>
      </text>
    </comment>
    <comment ref="H51" authorId="0">
      <text>
        <r>
          <rPr>
            <b/>
            <sz val="9"/>
            <color indexed="81"/>
            <rFont val="Tahoma"/>
            <family val="2"/>
          </rPr>
          <t>Nilai Ijazah diperoleh dari gabungan portofolio dan Tes dengan bobot ditentukan oleh sekolah sendiri</t>
        </r>
      </text>
    </comment>
    <comment ref="H55" authorId="0">
      <text>
        <r>
          <rPr>
            <b/>
            <sz val="9"/>
            <color indexed="81"/>
            <rFont val="Tahoma"/>
            <family val="2"/>
          </rPr>
          <t>Isikan Nilai Ujian SekolahTertulis</t>
        </r>
      </text>
    </comment>
    <comment ref="H56" authorId="0">
      <text>
        <r>
          <rPr>
            <b/>
            <sz val="9"/>
            <color indexed="81"/>
            <rFont val="Tahoma"/>
            <family val="2"/>
          </rPr>
          <t>Nilai Ijazah diperoleh dari gabungan portofolio dan Tes dengan bobot ditentukan oleh sekolah sendiri</t>
        </r>
      </text>
    </comment>
    <comment ref="H60" authorId="0">
      <text>
        <r>
          <rPr>
            <b/>
            <sz val="9"/>
            <color indexed="81"/>
            <rFont val="Tahoma"/>
            <family val="2"/>
          </rPr>
          <t>Isikan Nilai Ujian SekolahTertulis</t>
        </r>
      </text>
    </comment>
    <comment ref="H61" authorId="0">
      <text>
        <r>
          <rPr>
            <b/>
            <sz val="9"/>
            <color indexed="81"/>
            <rFont val="Tahoma"/>
            <family val="2"/>
          </rPr>
          <t>Nilai Ijazah diperoleh dari gabungan portofolio dan Tes dengan bobot ditentukan oleh sekolah sendiri</t>
        </r>
      </text>
    </comment>
    <comment ref="H65" authorId="0">
      <text>
        <r>
          <rPr>
            <b/>
            <sz val="9"/>
            <color indexed="81"/>
            <rFont val="Tahoma"/>
            <family val="2"/>
          </rPr>
          <t>Isikan Nilai Ujian SekolahTertulis</t>
        </r>
      </text>
    </comment>
    <comment ref="H66" authorId="0">
      <text>
        <r>
          <rPr>
            <b/>
            <sz val="9"/>
            <color indexed="81"/>
            <rFont val="Tahoma"/>
            <family val="2"/>
          </rPr>
          <t>Nilai Ijazah diperoleh dari gabungan portofolio dan Tes dengan bobot ditentukan oleh sekolah sendiri</t>
        </r>
      </text>
    </comment>
    <comment ref="H69" authorId="0">
      <text>
        <r>
          <rPr>
            <b/>
            <sz val="9"/>
            <color indexed="81"/>
            <rFont val="Tahoma"/>
            <family val="2"/>
          </rPr>
          <t>nilai rata-rata rapor (semester 1 kelas 4 sampai dengan semester 1 kelas 6)</t>
        </r>
      </text>
    </comment>
    <comment ref="H70" authorId="0">
      <text>
        <r>
          <rPr>
            <b/>
            <sz val="9"/>
            <color indexed="81"/>
            <rFont val="Tahoma"/>
            <family val="2"/>
          </rPr>
          <t>Isikan Nilai Ujian SekolahTertulis</t>
        </r>
      </text>
    </comment>
    <comment ref="H71" authorId="0">
      <text>
        <r>
          <rPr>
            <b/>
            <sz val="9"/>
            <color indexed="81"/>
            <rFont val="Tahoma"/>
            <family val="2"/>
          </rPr>
          <t>Nilai Ijazah diperoleh dari gabungan portofolio dan Tes dengan bobot ditentukan oleh sekolah sendiri</t>
        </r>
      </text>
    </comment>
    <comment ref="H74" authorId="0">
      <text>
        <r>
          <rPr>
            <b/>
            <sz val="9"/>
            <color indexed="81"/>
            <rFont val="Tahoma"/>
            <family val="2"/>
          </rPr>
          <t>nilai rata-rata rapor (semester 1 kelas 4 sampai dengan semester 1 kelas 6)</t>
        </r>
      </text>
    </comment>
    <comment ref="H75" authorId="0">
      <text>
        <r>
          <rPr>
            <b/>
            <sz val="9"/>
            <color indexed="81"/>
            <rFont val="Tahoma"/>
            <family val="2"/>
          </rPr>
          <t>Isikan Nilai Ujian SekolahTertulis</t>
        </r>
      </text>
    </comment>
    <comment ref="H76" authorId="0">
      <text>
        <r>
          <rPr>
            <b/>
            <sz val="9"/>
            <color indexed="81"/>
            <rFont val="Tahoma"/>
            <family val="2"/>
          </rPr>
          <t>Nilai Ijazah diperoleh dari gabungan portofolio dan Tes dengan bobot ditentukan oleh sekolah sendiri</t>
        </r>
      </text>
    </comment>
    <comment ref="H79" authorId="0">
      <text>
        <r>
          <rPr>
            <b/>
            <sz val="9"/>
            <color indexed="81"/>
            <rFont val="Tahoma"/>
            <family val="2"/>
          </rPr>
          <t>nilai rata-rata rapor (semester 1 kelas 4 sampai dengan semester 1 kelas 6)</t>
        </r>
      </text>
    </comment>
    <comment ref="H80" authorId="0">
      <text>
        <r>
          <rPr>
            <b/>
            <sz val="9"/>
            <color indexed="81"/>
            <rFont val="Tahoma"/>
            <family val="2"/>
          </rPr>
          <t>Isikan Nilai Ujian SekolahTertulis</t>
        </r>
      </text>
    </comment>
    <comment ref="H81" authorId="0">
      <text>
        <r>
          <rPr>
            <b/>
            <sz val="9"/>
            <color indexed="81"/>
            <rFont val="Tahoma"/>
            <family val="2"/>
          </rPr>
          <t>Nilai Ijazah diperoleh dari gabungan portofolio dan Tes dengan bobot ditentukan oleh sekolah sendiri</t>
        </r>
      </text>
    </comment>
    <comment ref="H84" authorId="0">
      <text>
        <r>
          <rPr>
            <b/>
            <sz val="9"/>
            <color indexed="81"/>
            <rFont val="Tahoma"/>
            <family val="2"/>
          </rPr>
          <t>nilai rata-rata rapor (semester 1 kelas 4 sampai dengan semester 1 kelas 6)</t>
        </r>
      </text>
    </comment>
    <comment ref="H85" authorId="0">
      <text>
        <r>
          <rPr>
            <b/>
            <sz val="9"/>
            <color indexed="81"/>
            <rFont val="Tahoma"/>
            <family val="2"/>
          </rPr>
          <t>Isikan Nilai Ujian SekolahTertulis</t>
        </r>
      </text>
    </comment>
    <comment ref="H86" authorId="0">
      <text>
        <r>
          <rPr>
            <b/>
            <sz val="9"/>
            <color indexed="81"/>
            <rFont val="Tahoma"/>
            <family val="2"/>
          </rPr>
          <t>Nilai Ijazah diperoleh dari gabungan portofolio dan Tes dengan bobot ditentukan oleh sekolah sendiri</t>
        </r>
      </text>
    </comment>
    <comment ref="H89" authorId="0">
      <text>
        <r>
          <rPr>
            <b/>
            <sz val="9"/>
            <color indexed="81"/>
            <rFont val="Tahoma"/>
            <family val="2"/>
          </rPr>
          <t>nilai rata-rata rapor (semester 1 kelas 4 sampai dengan semester 1 kelas 6)</t>
        </r>
      </text>
    </comment>
    <comment ref="H90" authorId="0">
      <text>
        <r>
          <rPr>
            <b/>
            <sz val="9"/>
            <color indexed="81"/>
            <rFont val="Tahoma"/>
            <family val="2"/>
          </rPr>
          <t>Isikan Nilai Ujian SekolahTertulis</t>
        </r>
      </text>
    </comment>
    <comment ref="H91" authorId="0">
      <text>
        <r>
          <rPr>
            <b/>
            <sz val="9"/>
            <color indexed="81"/>
            <rFont val="Tahoma"/>
            <family val="2"/>
          </rPr>
          <t>Nilai Ijazah diperoleh dari gabungan portofolio dan Tes dengan bobot ditentukan oleh sekolah sendiri</t>
        </r>
      </text>
    </comment>
    <comment ref="H94" authorId="0">
      <text>
        <r>
          <rPr>
            <b/>
            <sz val="9"/>
            <color indexed="81"/>
            <rFont val="Tahoma"/>
            <family val="2"/>
          </rPr>
          <t>nilai rata-rata rapor (semester 1 kelas 4 sampai dengan semester 1 kelas 6)</t>
        </r>
      </text>
    </comment>
    <comment ref="H95" authorId="0">
      <text>
        <r>
          <rPr>
            <b/>
            <sz val="9"/>
            <color indexed="81"/>
            <rFont val="Tahoma"/>
            <family val="2"/>
          </rPr>
          <t>Isikan Nilai Ujian SekolahTertulis</t>
        </r>
      </text>
    </comment>
    <comment ref="H96" authorId="0">
      <text>
        <r>
          <rPr>
            <b/>
            <sz val="9"/>
            <color indexed="81"/>
            <rFont val="Tahoma"/>
            <family val="2"/>
          </rPr>
          <t>Nilai Ijazah diperoleh dari gabungan portofolio dan Tes dengan bobot ditentukan oleh sekolah sendiri</t>
        </r>
      </text>
    </comment>
    <comment ref="H99" authorId="0">
      <text>
        <r>
          <rPr>
            <b/>
            <sz val="9"/>
            <color indexed="81"/>
            <rFont val="Tahoma"/>
            <family val="2"/>
          </rPr>
          <t>nilai rata-rata rapor (semester 1 kelas 4 sampai dengan semester 1 kelas 6)</t>
        </r>
      </text>
    </comment>
    <comment ref="H100" authorId="0">
      <text>
        <r>
          <rPr>
            <b/>
            <sz val="9"/>
            <color indexed="81"/>
            <rFont val="Tahoma"/>
            <family val="2"/>
          </rPr>
          <t>Isikan Nilai Ujian SekolahTertulis</t>
        </r>
      </text>
    </comment>
    <comment ref="H101" authorId="0">
      <text>
        <r>
          <rPr>
            <b/>
            <sz val="9"/>
            <color indexed="81"/>
            <rFont val="Tahoma"/>
            <family val="2"/>
          </rPr>
          <t>Nilai Ijazah diperoleh dari gabungan portofolio dan Tes dengan bobot ditentukan oleh sekolah sendiri</t>
        </r>
      </text>
    </comment>
    <comment ref="H104" authorId="0">
      <text>
        <r>
          <rPr>
            <b/>
            <sz val="9"/>
            <color indexed="81"/>
            <rFont val="Tahoma"/>
            <family val="2"/>
          </rPr>
          <t>nilai rata-rata rapor (semester 1 kelas 4 sampai dengan semester 1 kelas 6)</t>
        </r>
      </text>
    </comment>
    <comment ref="H105" authorId="0">
      <text>
        <r>
          <rPr>
            <b/>
            <sz val="9"/>
            <color indexed="81"/>
            <rFont val="Tahoma"/>
            <family val="2"/>
          </rPr>
          <t>Isikan Nilai Ujian SekolahTertulis</t>
        </r>
      </text>
    </comment>
    <comment ref="H106" authorId="0">
      <text>
        <r>
          <rPr>
            <b/>
            <sz val="9"/>
            <color indexed="81"/>
            <rFont val="Tahoma"/>
            <family val="2"/>
          </rPr>
          <t>Nilai Ijazah diperoleh dari gabungan portofolio dan Tes dengan bobot ditentukan oleh sekolah sendiri</t>
        </r>
      </text>
    </comment>
    <comment ref="H109" authorId="0">
      <text>
        <r>
          <rPr>
            <b/>
            <sz val="9"/>
            <color indexed="81"/>
            <rFont val="Tahoma"/>
            <family val="2"/>
          </rPr>
          <t>nilai rata-rata rapor (semester 1 kelas 4 sampai dengan semester 1 kelas 6)</t>
        </r>
      </text>
    </comment>
    <comment ref="H110" authorId="0">
      <text>
        <r>
          <rPr>
            <b/>
            <sz val="9"/>
            <color indexed="81"/>
            <rFont val="Tahoma"/>
            <family val="2"/>
          </rPr>
          <t>Isikan Nilai Ujian SekolahTertulis</t>
        </r>
      </text>
    </comment>
    <comment ref="H111" authorId="0">
      <text>
        <r>
          <rPr>
            <b/>
            <sz val="9"/>
            <color indexed="81"/>
            <rFont val="Tahoma"/>
            <family val="2"/>
          </rPr>
          <t>Nilai Ijazah diperoleh dari gabungan portofolio dan Tes dengan bobot ditentukan oleh sekolah sendiri</t>
        </r>
      </text>
    </comment>
    <comment ref="H114" authorId="0">
      <text>
        <r>
          <rPr>
            <b/>
            <sz val="9"/>
            <color indexed="81"/>
            <rFont val="Tahoma"/>
            <family val="2"/>
          </rPr>
          <t>nilai rata-rata rapor (semester 1 kelas 4 sampai dengan semester 1 kelas 6)</t>
        </r>
      </text>
    </comment>
    <comment ref="H115" authorId="0">
      <text>
        <r>
          <rPr>
            <b/>
            <sz val="9"/>
            <color indexed="81"/>
            <rFont val="Tahoma"/>
            <family val="2"/>
          </rPr>
          <t>Isikan Nilai Ujian SekolahTertulis</t>
        </r>
      </text>
    </comment>
    <comment ref="H116" authorId="0">
      <text>
        <r>
          <rPr>
            <b/>
            <sz val="9"/>
            <color indexed="81"/>
            <rFont val="Tahoma"/>
            <family val="2"/>
          </rPr>
          <t>Nilai Ijazah diperoleh dari gabungan portofolio dan Tes dengan bobot ditentukan oleh sekolah sendiri</t>
        </r>
      </text>
    </comment>
    <comment ref="H119" authorId="0">
      <text>
        <r>
          <rPr>
            <b/>
            <sz val="9"/>
            <color indexed="81"/>
            <rFont val="Tahoma"/>
            <family val="2"/>
          </rPr>
          <t>nilai rata-rata rapor (semester 1 kelas 4 sampai dengan semester 1 kelas 6)</t>
        </r>
      </text>
    </comment>
    <comment ref="H120" authorId="0">
      <text>
        <r>
          <rPr>
            <b/>
            <sz val="9"/>
            <color indexed="81"/>
            <rFont val="Tahoma"/>
            <family val="2"/>
          </rPr>
          <t>Isikan Nilai Ujian SekolahTertulis</t>
        </r>
      </text>
    </comment>
    <comment ref="H121" authorId="0">
      <text>
        <r>
          <rPr>
            <b/>
            <sz val="9"/>
            <color indexed="81"/>
            <rFont val="Tahoma"/>
            <family val="2"/>
          </rPr>
          <t>Nilai Ijazah diperoleh dari gabungan portofolio dan Tes dengan bobot ditentukan oleh sekolah sendiri</t>
        </r>
      </text>
    </comment>
    <comment ref="H124" authorId="0">
      <text>
        <r>
          <rPr>
            <b/>
            <sz val="9"/>
            <color indexed="81"/>
            <rFont val="Tahoma"/>
            <family val="2"/>
          </rPr>
          <t>nilai rata-rata rapor (semester 1 kelas 4 sampai dengan semester 1 kelas 6)</t>
        </r>
      </text>
    </comment>
    <comment ref="H125" authorId="0">
      <text>
        <r>
          <rPr>
            <b/>
            <sz val="9"/>
            <color indexed="81"/>
            <rFont val="Tahoma"/>
            <family val="2"/>
          </rPr>
          <t>Isikan Nilai Ujian SekolahTertulis</t>
        </r>
      </text>
    </comment>
    <comment ref="H126" authorId="0">
      <text>
        <r>
          <rPr>
            <b/>
            <sz val="9"/>
            <color indexed="81"/>
            <rFont val="Tahoma"/>
            <family val="2"/>
          </rPr>
          <t>Nilai Ijazah diperoleh dari gabungan portofolio dan Tes dengan bobot ditentukan oleh sekolah sendiri</t>
        </r>
      </text>
    </comment>
    <comment ref="H129" authorId="0">
      <text>
        <r>
          <rPr>
            <b/>
            <sz val="9"/>
            <color indexed="81"/>
            <rFont val="Tahoma"/>
            <family val="2"/>
          </rPr>
          <t>nilai rata-rata rapor (semester 1 kelas 4 sampai dengan semester 1 kelas 6)</t>
        </r>
      </text>
    </comment>
    <comment ref="H130" authorId="0">
      <text>
        <r>
          <rPr>
            <b/>
            <sz val="9"/>
            <color indexed="81"/>
            <rFont val="Tahoma"/>
            <family val="2"/>
          </rPr>
          <t>Isikan Nilai Ujian SekolahTertulis</t>
        </r>
      </text>
    </comment>
    <comment ref="H131" authorId="0">
      <text>
        <r>
          <rPr>
            <b/>
            <sz val="9"/>
            <color indexed="81"/>
            <rFont val="Tahoma"/>
            <family val="2"/>
          </rPr>
          <t>Nilai Ijazah diperoleh dari gabungan portofolio dan Tes dengan bobot ditentukan oleh sekolah sendiri</t>
        </r>
      </text>
    </comment>
    <comment ref="H134" authorId="0">
      <text>
        <r>
          <rPr>
            <b/>
            <sz val="9"/>
            <color indexed="81"/>
            <rFont val="Tahoma"/>
            <family val="2"/>
          </rPr>
          <t>nilai rata-rata rapor (semester 1 kelas 4 sampai dengan semester 1 kelas 6)</t>
        </r>
      </text>
    </comment>
    <comment ref="H135" authorId="0">
      <text>
        <r>
          <rPr>
            <b/>
            <sz val="9"/>
            <color indexed="81"/>
            <rFont val="Tahoma"/>
            <family val="2"/>
          </rPr>
          <t>Isikan Nilai Ujian SekolahTertulis</t>
        </r>
      </text>
    </comment>
    <comment ref="H136" authorId="0">
      <text>
        <r>
          <rPr>
            <b/>
            <sz val="9"/>
            <color indexed="81"/>
            <rFont val="Tahoma"/>
            <family val="2"/>
          </rPr>
          <t>Nilai Ijazah diperoleh dari gabungan portofolio dan Tes dengan bobot ditentukan oleh sekolah sendiri</t>
        </r>
      </text>
    </comment>
    <comment ref="H139" authorId="0">
      <text>
        <r>
          <rPr>
            <b/>
            <sz val="9"/>
            <color indexed="81"/>
            <rFont val="Tahoma"/>
            <family val="2"/>
          </rPr>
          <t>nilai rata-rata rapor (semester 1 kelas 4 sampai dengan semester 1 kelas 6)</t>
        </r>
      </text>
    </comment>
    <comment ref="H140" authorId="0">
      <text>
        <r>
          <rPr>
            <b/>
            <sz val="9"/>
            <color indexed="81"/>
            <rFont val="Tahoma"/>
            <family val="2"/>
          </rPr>
          <t>Isikan Nilai Ujian SekolahTertulis</t>
        </r>
      </text>
    </comment>
    <comment ref="H141" authorId="0">
      <text>
        <r>
          <rPr>
            <b/>
            <sz val="9"/>
            <color indexed="81"/>
            <rFont val="Tahoma"/>
            <family val="2"/>
          </rPr>
          <t>Nilai Ijazah diperoleh dari gabungan portofolio dan Tes dengan bobot ditentukan oleh sekolah sendiri</t>
        </r>
      </text>
    </comment>
    <comment ref="H144" authorId="0">
      <text>
        <r>
          <rPr>
            <b/>
            <sz val="9"/>
            <color indexed="81"/>
            <rFont val="Tahoma"/>
            <family val="2"/>
          </rPr>
          <t>nilai rata-rata rapor (semester 1 kelas 4 sampai dengan semester 1 kelas 6)</t>
        </r>
      </text>
    </comment>
    <comment ref="H145" authorId="0">
      <text>
        <r>
          <rPr>
            <b/>
            <sz val="9"/>
            <color indexed="81"/>
            <rFont val="Tahoma"/>
            <family val="2"/>
          </rPr>
          <t>Isikan Nilai Ujian SekolahTertulis</t>
        </r>
      </text>
    </comment>
    <comment ref="H146" authorId="0">
      <text>
        <r>
          <rPr>
            <b/>
            <sz val="9"/>
            <color indexed="81"/>
            <rFont val="Tahoma"/>
            <family val="2"/>
          </rPr>
          <t>Nilai Ijazah diperoleh dari gabungan portofolio dan Tes dengan bobot ditentukan oleh sekolah sendiri</t>
        </r>
      </text>
    </comment>
    <comment ref="H149" authorId="0">
      <text>
        <r>
          <rPr>
            <b/>
            <sz val="9"/>
            <color indexed="81"/>
            <rFont val="Tahoma"/>
            <family val="2"/>
          </rPr>
          <t>nilai rata-rata rapor (semester 1 kelas 4 sampai dengan semester 1 kelas 6)</t>
        </r>
      </text>
    </comment>
    <comment ref="H150" authorId="0">
      <text>
        <r>
          <rPr>
            <b/>
            <sz val="9"/>
            <color indexed="81"/>
            <rFont val="Tahoma"/>
            <family val="2"/>
          </rPr>
          <t>Isikan Nilai Ujian SekolahTertulis</t>
        </r>
      </text>
    </comment>
    <comment ref="H151" authorId="0">
      <text>
        <r>
          <rPr>
            <b/>
            <sz val="9"/>
            <color indexed="81"/>
            <rFont val="Tahoma"/>
            <family val="2"/>
          </rPr>
          <t>Nilai Ijazah diperoleh dari gabungan portofolio dan Tes dengan bobot ditentukan oleh sekolah sendiri</t>
        </r>
      </text>
    </comment>
    <comment ref="H154" authorId="0">
      <text>
        <r>
          <rPr>
            <b/>
            <sz val="9"/>
            <color indexed="81"/>
            <rFont val="Tahoma"/>
            <family val="2"/>
          </rPr>
          <t>nilai rata-rata rapor (semester 1 kelas 4 sampai dengan semester 1 kelas 6)</t>
        </r>
      </text>
    </comment>
    <comment ref="H155" authorId="0">
      <text>
        <r>
          <rPr>
            <b/>
            <sz val="9"/>
            <color indexed="81"/>
            <rFont val="Tahoma"/>
            <family val="2"/>
          </rPr>
          <t>Isikan Nilai Ujian SekolahTertulis</t>
        </r>
      </text>
    </comment>
    <comment ref="H156" authorId="0">
      <text>
        <r>
          <rPr>
            <b/>
            <sz val="9"/>
            <color indexed="81"/>
            <rFont val="Tahoma"/>
            <family val="2"/>
          </rPr>
          <t>Nilai Ijazah diperoleh dari gabungan portofolio dan Tes dengan bobot ditentukan oleh sekolah sendiri</t>
        </r>
      </text>
    </comment>
    <comment ref="H159" authorId="0">
      <text>
        <r>
          <rPr>
            <b/>
            <sz val="9"/>
            <color indexed="81"/>
            <rFont val="Tahoma"/>
            <family val="2"/>
          </rPr>
          <t>nilai rata-rata rapor (semester 1 kelas 4 sampai dengan semester 1 kelas 6)</t>
        </r>
      </text>
    </comment>
    <comment ref="H160" authorId="0">
      <text>
        <r>
          <rPr>
            <b/>
            <sz val="9"/>
            <color indexed="81"/>
            <rFont val="Tahoma"/>
            <family val="2"/>
          </rPr>
          <t>Isikan Nilai Ujian SekolahTertulis</t>
        </r>
      </text>
    </comment>
    <comment ref="H161" authorId="0">
      <text>
        <r>
          <rPr>
            <b/>
            <sz val="9"/>
            <color indexed="81"/>
            <rFont val="Tahoma"/>
            <family val="2"/>
          </rPr>
          <t>Nilai Ijazah diperoleh dari gabungan portofolio dan Tes dengan bobot ditentukan oleh sekolah sendiri</t>
        </r>
      </text>
    </comment>
    <comment ref="H164" authorId="0">
      <text>
        <r>
          <rPr>
            <b/>
            <sz val="9"/>
            <color indexed="81"/>
            <rFont val="Tahoma"/>
            <family val="2"/>
          </rPr>
          <t>nilai rata-rata rapor (semester 1 kelas 4 sampai dengan semester 1 kelas 6)</t>
        </r>
      </text>
    </comment>
    <comment ref="H165" authorId="0">
      <text>
        <r>
          <rPr>
            <b/>
            <sz val="9"/>
            <color indexed="81"/>
            <rFont val="Tahoma"/>
            <family val="2"/>
          </rPr>
          <t>Isikan Nilai Ujian SekolahTertulis</t>
        </r>
      </text>
    </comment>
    <comment ref="H166" authorId="0">
      <text>
        <r>
          <rPr>
            <b/>
            <sz val="9"/>
            <color indexed="81"/>
            <rFont val="Tahoma"/>
            <family val="2"/>
          </rPr>
          <t>Nilai Ijazah diperoleh dari gabungan portofolio dan Tes dengan bobot ditentukan oleh sekolah sendiri</t>
        </r>
      </text>
    </comment>
    <comment ref="H169" authorId="0">
      <text>
        <r>
          <rPr>
            <b/>
            <sz val="9"/>
            <color indexed="81"/>
            <rFont val="Tahoma"/>
            <family val="2"/>
          </rPr>
          <t>nilai rata-rata rapor (semester 1 kelas 4 sampai dengan semester 1 kelas 6)</t>
        </r>
      </text>
    </comment>
    <comment ref="H170" authorId="0">
      <text>
        <r>
          <rPr>
            <b/>
            <sz val="9"/>
            <color indexed="81"/>
            <rFont val="Tahoma"/>
            <family val="2"/>
          </rPr>
          <t>Isikan Nilai Ujian SekolahTertulis</t>
        </r>
      </text>
    </comment>
    <comment ref="H171" authorId="0">
      <text>
        <r>
          <rPr>
            <b/>
            <sz val="9"/>
            <color indexed="81"/>
            <rFont val="Tahoma"/>
            <family val="2"/>
          </rPr>
          <t>Nilai Ijazah diperoleh dari gabungan portofolio dan Tes dengan bobot ditentukan oleh sekolah sendiri</t>
        </r>
      </text>
    </comment>
    <comment ref="H174" authorId="0">
      <text>
        <r>
          <rPr>
            <b/>
            <sz val="9"/>
            <color indexed="81"/>
            <rFont val="Tahoma"/>
            <family val="2"/>
          </rPr>
          <t>nilai rata-rata rapor (semester 1 kelas 4 sampai dengan semester 1 kelas 6)</t>
        </r>
      </text>
    </comment>
    <comment ref="H175" authorId="0">
      <text>
        <r>
          <rPr>
            <b/>
            <sz val="9"/>
            <color indexed="81"/>
            <rFont val="Tahoma"/>
            <family val="2"/>
          </rPr>
          <t>Isikan Nilai Ujian SekolahTertulis</t>
        </r>
      </text>
    </comment>
    <comment ref="H176" authorId="0">
      <text>
        <r>
          <rPr>
            <b/>
            <sz val="9"/>
            <color indexed="81"/>
            <rFont val="Tahoma"/>
            <family val="2"/>
          </rPr>
          <t>Nilai Ijazah diperoleh dari gabungan portofolio dan Tes dengan bobot ditentukan oleh sekolah sendiri</t>
        </r>
      </text>
    </comment>
    <comment ref="H179" authorId="0">
      <text>
        <r>
          <rPr>
            <b/>
            <sz val="9"/>
            <color indexed="81"/>
            <rFont val="Tahoma"/>
            <family val="2"/>
          </rPr>
          <t>nilai rata-rata rapor (semester 1 kelas 4 sampai dengan semester 1 kelas 6)</t>
        </r>
      </text>
    </comment>
    <comment ref="H180" authorId="0">
      <text>
        <r>
          <rPr>
            <b/>
            <sz val="9"/>
            <color indexed="81"/>
            <rFont val="Tahoma"/>
            <family val="2"/>
          </rPr>
          <t>Isikan Nilai Ujian SekolahTertulis</t>
        </r>
      </text>
    </comment>
    <comment ref="H181" authorId="0">
      <text>
        <r>
          <rPr>
            <b/>
            <sz val="9"/>
            <color indexed="81"/>
            <rFont val="Tahoma"/>
            <family val="2"/>
          </rPr>
          <t>Nilai Ijazah diperoleh dari gabungan portofolio dan Tes dengan bobot ditentukan oleh sekolah sendiri</t>
        </r>
      </text>
    </comment>
    <comment ref="H184" authorId="0">
      <text>
        <r>
          <rPr>
            <b/>
            <sz val="9"/>
            <color indexed="81"/>
            <rFont val="Tahoma"/>
            <family val="2"/>
          </rPr>
          <t>nilai rata-rata rapor (semester 1 kelas 4 sampai dengan semester 1 kelas 6)</t>
        </r>
      </text>
    </comment>
    <comment ref="H185" authorId="0">
      <text>
        <r>
          <rPr>
            <b/>
            <sz val="9"/>
            <color indexed="81"/>
            <rFont val="Tahoma"/>
            <family val="2"/>
          </rPr>
          <t>Isikan Nilai Ujian SekolahTertulis</t>
        </r>
      </text>
    </comment>
    <comment ref="H186" authorId="0">
      <text>
        <r>
          <rPr>
            <b/>
            <sz val="9"/>
            <color indexed="81"/>
            <rFont val="Tahoma"/>
            <family val="2"/>
          </rPr>
          <t>Nilai Ijazah diperoleh dari gabungan portofolio dan Tes dengan bobot ditentukan oleh sekolah sendiri</t>
        </r>
      </text>
    </comment>
    <comment ref="H189" authorId="0">
      <text>
        <r>
          <rPr>
            <b/>
            <sz val="9"/>
            <color indexed="81"/>
            <rFont val="Tahoma"/>
            <family val="2"/>
          </rPr>
          <t>nilai rata-rata rapor (semester 1 kelas 4 sampai dengan semester 1 kelas 6)</t>
        </r>
      </text>
    </comment>
    <comment ref="H190" authorId="0">
      <text>
        <r>
          <rPr>
            <b/>
            <sz val="9"/>
            <color indexed="81"/>
            <rFont val="Tahoma"/>
            <family val="2"/>
          </rPr>
          <t>Isikan Nilai Ujian SekolahTertulis</t>
        </r>
      </text>
    </comment>
    <comment ref="H191" authorId="0">
      <text>
        <r>
          <rPr>
            <b/>
            <sz val="9"/>
            <color indexed="81"/>
            <rFont val="Tahoma"/>
            <family val="2"/>
          </rPr>
          <t>Nilai Ijazah diperoleh dari gabungan portofolio dan Tes dengan bobot ditentukan oleh sekolah sendiri</t>
        </r>
      </text>
    </comment>
    <comment ref="H194" authorId="0">
      <text>
        <r>
          <rPr>
            <b/>
            <sz val="9"/>
            <color indexed="81"/>
            <rFont val="Tahoma"/>
            <family val="2"/>
          </rPr>
          <t>nilai rata-rata rapor (semester 1 kelas 4 sampai dengan semester 1 kelas 6)</t>
        </r>
      </text>
    </comment>
    <comment ref="H195" authorId="0">
      <text>
        <r>
          <rPr>
            <b/>
            <sz val="9"/>
            <color indexed="81"/>
            <rFont val="Tahoma"/>
            <family val="2"/>
          </rPr>
          <t>Isikan Nilai Ujian SekolahTertulis</t>
        </r>
      </text>
    </comment>
    <comment ref="H196" authorId="0">
      <text>
        <r>
          <rPr>
            <b/>
            <sz val="9"/>
            <color indexed="81"/>
            <rFont val="Tahoma"/>
            <family val="2"/>
          </rPr>
          <t>Nilai Ijazah diperoleh dari gabungan portofolio dan Tes dengan bobot ditentukan oleh sekolah sendiri</t>
        </r>
      </text>
    </comment>
    <comment ref="H199" authorId="0">
      <text>
        <r>
          <rPr>
            <b/>
            <sz val="9"/>
            <color indexed="81"/>
            <rFont val="Tahoma"/>
            <family val="2"/>
          </rPr>
          <t>nilai rata-rata rapor (semester 1 kelas 4 sampai dengan semester 1 kelas 6)</t>
        </r>
      </text>
    </comment>
    <comment ref="H200" authorId="0">
      <text>
        <r>
          <rPr>
            <b/>
            <sz val="9"/>
            <color indexed="81"/>
            <rFont val="Tahoma"/>
            <family val="2"/>
          </rPr>
          <t>Isikan Nilai Ujian SekolahTertulis</t>
        </r>
      </text>
    </comment>
    <comment ref="H201" authorId="0">
      <text>
        <r>
          <rPr>
            <b/>
            <sz val="9"/>
            <color indexed="81"/>
            <rFont val="Tahoma"/>
            <family val="2"/>
          </rPr>
          <t>Nilai Ijazah diperoleh dari gabungan portofolio dan Tes dengan bobot ditentukan oleh sekolah sendiri</t>
        </r>
      </text>
    </comment>
    <comment ref="H204" authorId="0">
      <text>
        <r>
          <rPr>
            <b/>
            <sz val="9"/>
            <color indexed="81"/>
            <rFont val="Tahoma"/>
            <family val="2"/>
          </rPr>
          <t>nilai rata-rata rapor (semester 1 kelas 4 sampai dengan semester 1 kelas 6)</t>
        </r>
      </text>
    </comment>
    <comment ref="H205" authorId="0">
      <text>
        <r>
          <rPr>
            <b/>
            <sz val="9"/>
            <color indexed="81"/>
            <rFont val="Tahoma"/>
            <family val="2"/>
          </rPr>
          <t>Isikan Nilai Ujian SekolahTertulis</t>
        </r>
      </text>
    </comment>
    <comment ref="H206" authorId="0">
      <text>
        <r>
          <rPr>
            <b/>
            <sz val="9"/>
            <color indexed="81"/>
            <rFont val="Tahoma"/>
            <family val="2"/>
          </rPr>
          <t>Nilai Ijazah diperoleh dari gabungan portofolio dan Tes dengan bobot ditentukan oleh sekolah sendiri</t>
        </r>
      </text>
    </comment>
  </commentList>
</comments>
</file>

<file path=xl/comments4.xml><?xml version="1.0" encoding="utf-8"?>
<comments xmlns="http://schemas.openxmlformats.org/spreadsheetml/2006/main">
  <authors>
    <author>toshiba</author>
  </authors>
  <commentList>
    <comment ref="O5" authorId="0">
      <text>
        <r>
          <rPr>
            <b/>
            <sz val="9"/>
            <color indexed="81"/>
            <rFont val="Tahoma"/>
            <family val="2"/>
          </rPr>
          <t>Peringkat bisa disembunyikan (hide) kalau dipandang tidak perlu</t>
        </r>
      </text>
    </comment>
  </commentList>
</comments>
</file>

<file path=xl/comments5.xml><?xml version="1.0" encoding="utf-8"?>
<comments xmlns="http://schemas.openxmlformats.org/spreadsheetml/2006/main">
  <authors>
    <author>toshiba</author>
  </authors>
  <commentList>
    <comment ref="A3" authorId="0">
      <text>
        <r>
          <rPr>
            <b/>
            <sz val="9"/>
            <color indexed="81"/>
            <rFont val="Tahoma"/>
            <family val="2"/>
          </rPr>
          <t xml:space="preserve">
Diisi sesuai nomor urut siswa</t>
        </r>
      </text>
    </comment>
    <comment ref="L3" authorId="0">
      <text>
        <r>
          <rPr>
            <sz val="9"/>
            <color indexed="81"/>
            <rFont val="Tahoma"/>
            <family val="2"/>
          </rPr>
          <t xml:space="preserve">
1. Isi pada Nomor (warna kuning) diisi sesuai nomor
    urut siswa yang mau dicetak
2. Nama Sekolah diisi sesuai petunjuk/ aturan
</t>
        </r>
      </text>
    </comment>
    <comment ref="B15" authorId="0">
      <text>
        <r>
          <rPr>
            <sz val="9"/>
            <color indexed="81"/>
            <rFont val="Tahoma"/>
            <charset val="1"/>
          </rPr>
          <t xml:space="preserve">Kata Kabupaten / Kota  (tanpa mencoret)
 merujuk kepada Peraturan Kementerian
Dalam Negeri (Permendagri) Nomor 58 Tahun 2021 tentang
Kode, Data Wilayah Administrasi Pemerintahan dan Pulau. 
Contoh penulisan Kota  Bandung:
Di ijazah : Kabupaten/ Kota:  </t>
        </r>
        <r>
          <rPr>
            <b/>
            <sz val="9"/>
            <color indexed="81"/>
            <rFont val="Tahoma"/>
            <family val="2"/>
          </rPr>
          <t>Bandung</t>
        </r>
        <r>
          <rPr>
            <sz val="9"/>
            <color indexed="81"/>
            <rFont val="Tahoma"/>
            <charset val="1"/>
          </rPr>
          <t xml:space="preserve">
</t>
        </r>
      </text>
    </comment>
  </commentList>
</comments>
</file>

<file path=xl/comments6.xml><?xml version="1.0" encoding="utf-8"?>
<comments xmlns="http://schemas.openxmlformats.org/spreadsheetml/2006/main">
  <authors>
    <author>toshiba</author>
  </authors>
  <commentList>
    <comment ref="K1" authorId="0">
      <text>
        <r>
          <rPr>
            <b/>
            <sz val="9"/>
            <color indexed="81"/>
            <rFont val="Tahoma"/>
            <family val="2"/>
          </rPr>
          <t xml:space="preserve">
Diisi sesuai nomor urut siswa</t>
        </r>
      </text>
    </comment>
    <comment ref="K3" authorId="0">
      <text>
        <r>
          <rPr>
            <sz val="9"/>
            <color indexed="81"/>
            <rFont val="Tahoma"/>
            <family val="2"/>
          </rPr>
          <t xml:space="preserve">
1. Isi pada Nomor (warna kuning) diisi sesuai nomor
    urut siswa yang mau dicetak
2. Kop Surat diedit sesuai sekolahnya masing-masing
3. Nama Sekolah diisi sesuai petunjuk/ aturan
</t>
        </r>
      </text>
    </comment>
    <comment ref="K9" authorId="0">
      <text>
        <r>
          <rPr>
            <sz val="9"/>
            <color indexed="81"/>
            <rFont val="Tahoma"/>
            <family val="2"/>
          </rPr>
          <t>Isikan nomor surat pada 2 sel warna kuning tua di samping. Nomor urut siswa akan otomatis ada di tengah nomor surat</t>
        </r>
      </text>
    </comment>
  </commentList>
</comments>
</file>

<file path=xl/sharedStrings.xml><?xml version="1.0" encoding="utf-8"?>
<sst xmlns="http://schemas.openxmlformats.org/spreadsheetml/2006/main" count="608" uniqueCount="262">
  <si>
    <t>N a m a</t>
  </si>
  <si>
    <t>Mat</t>
  </si>
  <si>
    <t>IPA</t>
  </si>
  <si>
    <t>IPS</t>
  </si>
  <si>
    <t>Jumlah</t>
  </si>
  <si>
    <t>Rata-rata</t>
  </si>
  <si>
    <t>No</t>
  </si>
  <si>
    <t>Mata Pelajaran</t>
  </si>
  <si>
    <t>Unsur</t>
  </si>
  <si>
    <t>:</t>
  </si>
  <si>
    <t>NAMA</t>
  </si>
  <si>
    <t>Nama Sekolah</t>
  </si>
  <si>
    <t>Nama</t>
  </si>
  <si>
    <t>B.Indo</t>
  </si>
  <si>
    <t>B.Jawa</t>
  </si>
  <si>
    <t>Kepala Sekolah</t>
  </si>
  <si>
    <t>PJOK</t>
  </si>
  <si>
    <t>P.Agm</t>
  </si>
  <si>
    <t>LEGER PENGOLAHAN  NILAI   US/M</t>
  </si>
  <si>
    <t>MENU</t>
  </si>
  <si>
    <t>BACK HOME</t>
  </si>
  <si>
    <t>Mengetahui,</t>
  </si>
  <si>
    <t>NISN</t>
  </si>
  <si>
    <t>TEMPAT , TGL LAHIR</t>
  </si>
  <si>
    <t>NOMOR</t>
  </si>
  <si>
    <t>UR</t>
  </si>
  <si>
    <t>INDUK</t>
  </si>
  <si>
    <t>KEMENTERIAN PENDIDIKAN DAN KEBUDAYAAN</t>
  </si>
  <si>
    <t>IJAZAH</t>
  </si>
  <si>
    <t>SEKOLAH DASAR</t>
  </si>
  <si>
    <t>nama</t>
  </si>
  <si>
    <t>LULUS</t>
  </si>
  <si>
    <t>NAMA AYAH</t>
  </si>
  <si>
    <t>No.</t>
  </si>
  <si>
    <t>Muatan Lokal</t>
  </si>
  <si>
    <t>Tempat dan Tanggal Lahir</t>
  </si>
  <si>
    <t>Nomor Induk Siswa Nasional</t>
  </si>
  <si>
    <t>1.</t>
  </si>
  <si>
    <t>2.</t>
  </si>
  <si>
    <t>3.</t>
  </si>
  <si>
    <t>4.</t>
  </si>
  <si>
    <t>5.</t>
  </si>
  <si>
    <t>6.</t>
  </si>
  <si>
    <t>Bahasa Indonesia</t>
  </si>
  <si>
    <t>Matematika</t>
  </si>
  <si>
    <t>Ilmu Pengetahuan Alam</t>
  </si>
  <si>
    <t>Ilmu Pengetahuan Sosial</t>
  </si>
  <si>
    <t>Pendidikan Jasmani, Olahraga, dan Kesehatan</t>
  </si>
  <si>
    <t>a. Bahasa Jawa</t>
  </si>
  <si>
    <t xml:space="preserve">b. </t>
  </si>
  <si>
    <t xml:space="preserve">c. </t>
  </si>
  <si>
    <t>Nomor Induk Siswa</t>
  </si>
  <si>
    <t>DAFTAR NILAI</t>
  </si>
  <si>
    <t>nama orang tua/wali</t>
  </si>
  <si>
    <t>IJASAH DEPAN</t>
  </si>
  <si>
    <t>IJASAH BELK</t>
  </si>
  <si>
    <t>Kehadiran</t>
  </si>
  <si>
    <t>Nilai Sikap</t>
  </si>
  <si>
    <t>LEGER NILAI</t>
  </si>
  <si>
    <t>Kepala Sekolah,</t>
  </si>
  <si>
    <t xml:space="preserve">Nomor Induk Siswa  </t>
  </si>
  <si>
    <t>Nomor Pokok Sekolah Nasional</t>
  </si>
  <si>
    <t>Propinsi</t>
  </si>
  <si>
    <t>menerangkan bahwa:</t>
  </si>
  <si>
    <t>LEGER NILAI UJIAN SEKOLAH</t>
  </si>
  <si>
    <t>JENIS KELAMIN</t>
  </si>
  <si>
    <t>Guru Kelas VI</t>
  </si>
  <si>
    <t>PETUNJUK</t>
  </si>
  <si>
    <t>DATA SISWA &amp; SEK</t>
  </si>
  <si>
    <t>Kulon Progo</t>
  </si>
  <si>
    <t>Daerah Istimewa Yogyakarta</t>
  </si>
  <si>
    <t>Baris ini agar dihide jika kurikulum yg digunakan kur 2006</t>
  </si>
  <si>
    <t>A. DATA SISWA</t>
  </si>
  <si>
    <t>B. DATA SEKOLAH</t>
  </si>
  <si>
    <t>LEGER PENGOLAHAN NILAI  KELULUSAN</t>
  </si>
  <si>
    <t>Penanggalan Kelulusan  :</t>
  </si>
  <si>
    <t>NPSN                                     :</t>
  </si>
  <si>
    <t>Kurikulum                             :</t>
  </si>
  <si>
    <t>Nama KS                                 :</t>
  </si>
  <si>
    <t xml:space="preserve">NIP                                           :                     </t>
  </si>
  <si>
    <t>Nama Guru Kelas              :</t>
  </si>
  <si>
    <t xml:space="preserve">NIP                                          :                     </t>
  </si>
  <si>
    <r>
      <t xml:space="preserve">Yang bertanda tangan di bawah ini, Kepala        </t>
    </r>
    <r>
      <rPr>
        <sz val="16"/>
        <color theme="1"/>
        <rFont val="Calibri"/>
        <family val="2"/>
        <scheme val="minor"/>
      </rPr>
      <t xml:space="preserve"> </t>
    </r>
    <r>
      <rPr>
        <sz val="16"/>
        <color theme="1"/>
        <rFont val="Calibri"/>
        <family val="2"/>
        <scheme val="minor"/>
      </rPr>
      <t xml:space="preserve">   </t>
    </r>
  </si>
  <si>
    <t xml:space="preserve">Nilai Ujian </t>
  </si>
  <si>
    <t xml:space="preserve">Mata Pelajaran </t>
  </si>
  <si>
    <t>Sekolah</t>
  </si>
  <si>
    <t>tempat dan tanggal lahir</t>
  </si>
  <si>
    <t>Nilai US (Ijazah)</t>
  </si>
  <si>
    <t>SURAT KETERANGAN LULUS</t>
  </si>
  <si>
    <t>PEMERINTAH KABUPATEN KULON PROGO</t>
  </si>
  <si>
    <t>DINAS PENDIDIKAN PEMUDA DAN OLAHRAGA</t>
  </si>
  <si>
    <t>Tahun Pelajaran</t>
  </si>
  <si>
    <t>Alamat</t>
  </si>
  <si>
    <t>2013</t>
  </si>
  <si>
    <t>Peringkat</t>
  </si>
  <si>
    <t>Kabupaten  Kulon Progo Daerah Istimewa Yogyakarta menerangkan bahwa:</t>
  </si>
  <si>
    <t xml:space="preserve">telah memenuhi kriteria sesuai dengan peraturan perundang-undangan sehingga dinyatakan </t>
  </si>
  <si>
    <t>dari sekolah dasar dengan nilai sebagai berikut:</t>
  </si>
  <si>
    <t>Pendidikan Agama dan Budi Pekerti</t>
  </si>
  <si>
    <t>Pendidikan Pancasila dan Kewarganegaraan</t>
  </si>
  <si>
    <t>7.</t>
  </si>
  <si>
    <t>Seni Budaya dan Prakarya</t>
  </si>
  <si>
    <t>8.</t>
  </si>
  <si>
    <t>9.</t>
  </si>
  <si>
    <t>Demikian surat keterangan ini dibuat untuk dapat digunakan sebagaimana mestinya.</t>
  </si>
  <si>
    <t>Sekolah Dasar  Negeri</t>
  </si>
  <si>
    <t>Yang bertanda tangan di bawah ini, Kepala  Sekolah Dasar  Negeri Kalikepek</t>
  </si>
  <si>
    <t>Isikan nomor surat :</t>
  </si>
  <si>
    <t>PETUNUK</t>
  </si>
  <si>
    <t>dari sekolah dasar setelah memenuhi seluruh kriteria sesuai dengan peraturan</t>
  </si>
  <si>
    <t>JUMLAH  =</t>
  </si>
  <si>
    <t xml:space="preserve"> L :</t>
  </si>
  <si>
    <t>P :</t>
  </si>
  <si>
    <t>Pendidikan Agama</t>
  </si>
  <si>
    <t>Pendidikan Kewarganegaraan</t>
  </si>
  <si>
    <t>Seni Budaya dan Keterampilan</t>
  </si>
  <si>
    <t>Pendidikan Jasmani Olahraga dan Kesehatan</t>
  </si>
  <si>
    <t>Bahasa, Satra, dan Budaya Jawa</t>
  </si>
  <si>
    <t>1)</t>
  </si>
  <si>
    <t>2)</t>
  </si>
  <si>
    <t>3)</t>
  </si>
  <si>
    <t>4)</t>
  </si>
  <si>
    <t>5)</t>
  </si>
  <si>
    <t>6)</t>
  </si>
  <si>
    <t>7)</t>
  </si>
  <si>
    <t>8)</t>
  </si>
  <si>
    <t>9)</t>
  </si>
  <si>
    <t>Nilai akhir minimal mata pelajaran:</t>
  </si>
  <si>
    <t>Rata-rata minimal nilai akhir mata pelajaran</t>
  </si>
  <si>
    <t>B.</t>
  </si>
  <si>
    <t xml:space="preserve">Rata-rata  </t>
  </si>
  <si>
    <t>A.</t>
  </si>
  <si>
    <t xml:space="preserve"> =</t>
  </si>
  <si>
    <t>NILAI KELULUSAN MINIMAL</t>
  </si>
  <si>
    <t>KKM</t>
  </si>
  <si>
    <t>Catatan: Aplikasi ini hanya untuk 40 siswa</t>
  </si>
  <si>
    <t>SURAT KET LULUS</t>
  </si>
  <si>
    <t>by: SDN KALIKEPEK KAPANEWON WATES</t>
  </si>
  <si>
    <t xml:space="preserve">0091478509 </t>
  </si>
  <si>
    <t xml:space="preserve">0081949970 </t>
  </si>
  <si>
    <t xml:space="preserve">0087670996 </t>
  </si>
  <si>
    <t xml:space="preserve">0088230929 </t>
  </si>
  <si>
    <t>0098730221</t>
  </si>
  <si>
    <t xml:space="preserve">0052236280 </t>
  </si>
  <si>
    <t xml:space="preserve">0077254397 </t>
  </si>
  <si>
    <t xml:space="preserve">0093107709 </t>
  </si>
  <si>
    <t xml:space="preserve">0079786331 </t>
  </si>
  <si>
    <t xml:space="preserve">0086258141 </t>
  </si>
  <si>
    <t xml:space="preserve">0096658533 </t>
  </si>
  <si>
    <t>19730619 200103 2 001</t>
  </si>
  <si>
    <t>Kabupaten/ Kota</t>
  </si>
  <si>
    <t>perundang-undangan yang diumumkan pada tanggal 15 Juni 2022.</t>
  </si>
  <si>
    <t>2021/2022</t>
  </si>
  <si>
    <t>Penanggalan Ijasah :</t>
  </si>
  <si>
    <t>Kab. Kulon Progo, 15 Juni 2022</t>
  </si>
  <si>
    <t>NILAI TERTINGGI</t>
  </si>
  <si>
    <t>NILAI TERENDAH</t>
  </si>
  <si>
    <t>JUMLAH</t>
  </si>
  <si>
    <t>RATA-RATA</t>
  </si>
  <si>
    <t>REKAP LEGER NILAI UJIAN SEKOLAH</t>
  </si>
  <si>
    <t>Mengetahui:</t>
  </si>
  <si>
    <t>Rt-rt Nilai Rapor Kelas VI</t>
  </si>
  <si>
    <t>Nilai Ujian Sekolah</t>
  </si>
  <si>
    <t>NILAI RAPOR :</t>
  </si>
  <si>
    <t>SEM 2</t>
  </si>
  <si>
    <t>SEM 1</t>
  </si>
  <si>
    <t>Kab. Kulon Progo, 16 Juni 2022</t>
  </si>
  <si>
    <t>Nilai Raport Kelas VI</t>
  </si>
  <si>
    <t>BOBOT NILAI (%)</t>
  </si>
  <si>
    <t>NILAI US :</t>
  </si>
  <si>
    <t>RISET, DAN TEKNOLOGI REPUBLIK INDONESIA</t>
  </si>
  <si>
    <t>ADITYA BAGAS PRATAMA</t>
  </si>
  <si>
    <t>ADZRA NURY KHALISA</t>
  </si>
  <si>
    <t>AISYAH NUR RAMADHANI</t>
  </si>
  <si>
    <t>ALIFYA ALIA LATIFA</t>
  </si>
  <si>
    <t>ARUM ENDAH PERMATA SARI</t>
  </si>
  <si>
    <t>BERLIANA SUCI RAMADHANI</t>
  </si>
  <si>
    <t>DIKY SAPUTRO</t>
  </si>
  <si>
    <t>FADIL ADHA SAPUTRA</t>
  </si>
  <si>
    <t>FAIRUL RADITYA LUKMANSYAH</t>
  </si>
  <si>
    <t>FAJAR RIAN ASMORO</t>
  </si>
  <si>
    <t>NAJWA CHEIYLA YOSIANA FAIZAH ZAHRA</t>
  </si>
  <si>
    <t>NAJWAN HAFIZH PRATAMA</t>
  </si>
  <si>
    <t>NIKEN PUSPITA SARI</t>
  </si>
  <si>
    <t>PUPUT PUJI LESTARI</t>
  </si>
  <si>
    <t>RATRI PUSPITASARI</t>
  </si>
  <si>
    <t>RIZQI INDRI LESTARI</t>
  </si>
  <si>
    <t>SALSABILA KEYSHA ARAHMAN</t>
  </si>
  <si>
    <t>SUI ARDIYANI</t>
  </si>
  <si>
    <t>SYAFIK PUTRA MUBAROK</t>
  </si>
  <si>
    <t>Kulon Progo, 24 April 2009</t>
  </si>
  <si>
    <t>Kulon Progo, 22 September 2009</t>
  </si>
  <si>
    <t>Kulon Progo, 4 September 2009</t>
  </si>
  <si>
    <t>Kulon Progo,15 Nopember 2009</t>
  </si>
  <si>
    <t>Kulon Progo, 27  Agustus 2009</t>
  </si>
  <si>
    <t>Kulon Progo, 13 April 2009</t>
  </si>
  <si>
    <t>Kulon Progo, 28 November 2009</t>
  </si>
  <si>
    <t>Kulon Progo, 28 Juni 2009</t>
  </si>
  <si>
    <t>Kulon Progo, 26 April 2009</t>
  </si>
  <si>
    <t>Kulon Progo, 20 Februari 2010</t>
  </si>
  <si>
    <t>Kulon Progo, 19 Februari 2008</t>
  </si>
  <si>
    <t>Kulon Progo, 17 Maret 2010</t>
  </si>
  <si>
    <t>Kulon Progo, 5 September 2009</t>
  </si>
  <si>
    <t>Kulon Progo, 8 September 2009</t>
  </si>
  <si>
    <t>Kulon Progo, 24 Juni 2009</t>
  </si>
  <si>
    <t>Kulon Progo, 22 April 2009</t>
  </si>
  <si>
    <t xml:space="preserve">Kulon Progo, 28 Juli 2009 </t>
  </si>
  <si>
    <t>Laki-laki</t>
  </si>
  <si>
    <t>Perempuan</t>
  </si>
  <si>
    <t>JUWARNO</t>
  </si>
  <si>
    <t>SURADI</t>
  </si>
  <si>
    <t>TRI ABDURRAHMAN</t>
  </si>
  <si>
    <t>KHAIRI</t>
  </si>
  <si>
    <t>SUHARNO</t>
  </si>
  <si>
    <t>TUKIMIN</t>
  </si>
  <si>
    <t>SRIYANA</t>
  </si>
  <si>
    <t>KASIRAN</t>
  </si>
  <si>
    <t>YOGA PRAMUWANDARU</t>
  </si>
  <si>
    <t>RIYANTO</t>
  </si>
  <si>
    <t>RISMIYANTO</t>
  </si>
  <si>
    <t>TRI NURSIHANA</t>
  </si>
  <si>
    <t>SUYANTO</t>
  </si>
  <si>
    <t>SUJARWO</t>
  </si>
  <si>
    <t>WALGITO</t>
  </si>
  <si>
    <t>TUGIRIN</t>
  </si>
  <si>
    <t>MULYANTO</t>
  </si>
  <si>
    <t>NURYANA,S.Pd.</t>
  </si>
  <si>
    <t>SUMARNO</t>
  </si>
  <si>
    <t>SEKOLAH  DASAR NEGERI SERANG</t>
  </si>
  <si>
    <t>Serang,Sendangsari,Pengasih,Kulon Progo</t>
  </si>
  <si>
    <t>RR.RUMIYATI, S.Pd.</t>
  </si>
  <si>
    <t>19650409 199312 2 002</t>
  </si>
  <si>
    <t>TUMINAH, S.Pd.SD.</t>
  </si>
  <si>
    <t>Serang</t>
  </si>
  <si>
    <t>SEKOLAH DASAR NEGERI SERANG</t>
  </si>
  <si>
    <t>0099363903</t>
  </si>
  <si>
    <t>0093864481</t>
  </si>
  <si>
    <t>0097749825</t>
  </si>
  <si>
    <t>0092701952</t>
  </si>
  <si>
    <t>0092633566</t>
  </si>
  <si>
    <t>0094811758</t>
  </si>
  <si>
    <t>0091683051</t>
  </si>
  <si>
    <t>0093924268</t>
  </si>
  <si>
    <t>0099540642</t>
  </si>
  <si>
    <t>0103968057</t>
  </si>
  <si>
    <t>0081807435</t>
  </si>
  <si>
    <t>0093260561</t>
  </si>
  <si>
    <t>0103988999</t>
  </si>
  <si>
    <t>0093990430</t>
  </si>
  <si>
    <t>0091796230</t>
  </si>
  <si>
    <t>0099286111</t>
  </si>
  <si>
    <t>0097350316</t>
  </si>
  <si>
    <t>0097553090</t>
  </si>
  <si>
    <t>0099188327</t>
  </si>
  <si>
    <t>NOMOR: 421.2/28.</t>
  </si>
  <si>
    <t>/S.KET/SDSR/VI/2022</t>
  </si>
  <si>
    <t>Alamat : Serang,Sendangsari,Pengasih,Kulon Progo,55652</t>
  </si>
  <si>
    <t>Kulon Progo, 21 September 2009</t>
  </si>
  <si>
    <t>0099332579</t>
  </si>
  <si>
    <t>RAMADANI</t>
  </si>
  <si>
    <t>TRI INDRA NOVYANTORO</t>
  </si>
  <si>
    <t>Kulon Progo, 23 Oktober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</si>
</sst>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21]dd\ mmmm\ yyyy;@"/>
  </numFmts>
  <fonts count="58"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b/>
      <sz val="14"/>
      <color theme="1"/>
      <name val="Arial"/>
      <family val="2"/>
    </font>
    <font>
      <sz val="11"/>
      <name val="Calibri"/>
      <family val="2"/>
      <scheme val="minor"/>
    </font>
    <font>
      <b/>
      <sz val="10"/>
      <color theme="1"/>
      <name val="Arial"/>
      <family val="2"/>
    </font>
    <font>
      <sz val="12"/>
      <color theme="1"/>
      <name val="Calibri"/>
      <family val="2"/>
      <scheme val="minor"/>
    </font>
    <font>
      <sz val="11"/>
      <name val="Arial Narrow"/>
      <family val="2"/>
    </font>
    <font>
      <sz val="10"/>
      <name val="Arial Narrow"/>
      <family val="2"/>
    </font>
    <font>
      <sz val="11"/>
      <color rgb="FFFFFF00"/>
      <name val="Calibri"/>
      <family val="2"/>
      <scheme val="minor"/>
    </font>
    <font>
      <b/>
      <sz val="11"/>
      <color theme="1"/>
      <name val="Agency FB"/>
      <family val="2"/>
    </font>
    <font>
      <u/>
      <sz val="11"/>
      <color theme="10"/>
      <name val="Calibri"/>
      <family val="2"/>
    </font>
    <font>
      <b/>
      <sz val="20"/>
      <color theme="9" tint="0.79998168889431442"/>
      <name val="Calibri"/>
      <family val="2"/>
      <scheme val="minor"/>
    </font>
    <font>
      <b/>
      <sz val="20"/>
      <color theme="5"/>
      <name val="Calibri"/>
      <family val="2"/>
      <scheme val="minor"/>
    </font>
    <font>
      <sz val="11"/>
      <color theme="1"/>
      <name val="Arial"/>
      <family val="2"/>
    </font>
    <font>
      <sz val="10"/>
      <color theme="1"/>
      <name val="Arial"/>
      <family val="2"/>
    </font>
    <font>
      <sz val="12"/>
      <color theme="1"/>
      <name val="Arial"/>
      <family val="2"/>
    </font>
    <font>
      <sz val="9"/>
      <color theme="1"/>
      <name val="Arial"/>
      <family val="2"/>
    </font>
    <font>
      <sz val="8"/>
      <color theme="1"/>
      <name val="Arial"/>
      <family val="2"/>
    </font>
    <font>
      <b/>
      <sz val="11"/>
      <color theme="1"/>
      <name val="Arial"/>
      <family val="2"/>
    </font>
    <font>
      <b/>
      <sz val="11"/>
      <name val="Arial"/>
      <family val="2"/>
    </font>
    <font>
      <sz val="11"/>
      <color theme="1"/>
      <name val="Calibri"/>
      <family val="2"/>
      <scheme val="minor"/>
    </font>
    <font>
      <sz val="10"/>
      <color theme="1"/>
      <name val="Calibri"/>
      <family val="2"/>
      <scheme val="minor"/>
    </font>
    <font>
      <sz val="14"/>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b/>
      <sz val="16"/>
      <color theme="1"/>
      <name val="Calibri"/>
      <family val="2"/>
      <scheme val="minor"/>
    </font>
    <font>
      <sz val="8"/>
      <color theme="1"/>
      <name val="Calibri"/>
      <family val="2"/>
      <charset val="1"/>
      <scheme val="minor"/>
    </font>
    <font>
      <sz val="16"/>
      <color theme="1"/>
      <name val="Calibri"/>
      <family val="2"/>
      <scheme val="minor"/>
    </font>
    <font>
      <sz val="11"/>
      <name val="Calibri"/>
      <family val="2"/>
      <charset val="1"/>
      <scheme val="minor"/>
    </font>
    <font>
      <sz val="14"/>
      <color theme="1"/>
      <name val="Calibri"/>
      <family val="2"/>
      <charset val="1"/>
      <scheme val="minor"/>
    </font>
    <font>
      <sz val="16"/>
      <color theme="1"/>
      <name val="Calibri"/>
      <family val="2"/>
      <charset val="1"/>
      <scheme val="minor"/>
    </font>
    <font>
      <b/>
      <sz val="36"/>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0"/>
      <name val="Calibri"/>
      <family val="2"/>
    </font>
    <font>
      <b/>
      <i/>
      <sz val="14"/>
      <color theme="1"/>
      <name val="Calibri"/>
      <family val="2"/>
      <scheme val="minor"/>
    </font>
    <font>
      <i/>
      <sz val="9"/>
      <color theme="1"/>
      <name val="Calibri"/>
      <family val="2"/>
      <scheme val="minor"/>
    </font>
    <font>
      <b/>
      <sz val="10"/>
      <color theme="1"/>
      <name val="Calibri"/>
      <family val="2"/>
      <scheme val="minor"/>
    </font>
    <font>
      <b/>
      <sz val="22"/>
      <color rgb="FFFFFF00"/>
      <name val="Calibri"/>
      <family val="2"/>
      <scheme val="minor"/>
    </font>
    <font>
      <b/>
      <sz val="11"/>
      <color theme="1"/>
      <name val="Calibri"/>
      <family val="2"/>
      <charset val="1"/>
      <scheme val="minor"/>
    </font>
    <font>
      <b/>
      <sz val="16"/>
      <color theme="1"/>
      <name val="Arial"/>
      <family val="2"/>
    </font>
    <font>
      <b/>
      <i/>
      <sz val="12"/>
      <color theme="1"/>
      <name val="Arial"/>
      <family val="2"/>
    </font>
    <font>
      <b/>
      <sz val="18"/>
      <color theme="1"/>
      <name val="Arial"/>
      <family val="2"/>
    </font>
    <font>
      <sz val="11"/>
      <name val="Arial"/>
      <family val="2"/>
    </font>
    <font>
      <sz val="14"/>
      <color theme="1"/>
      <name val="Arial"/>
      <family val="2"/>
    </font>
    <font>
      <i/>
      <sz val="11"/>
      <color theme="1"/>
      <name val="Arial"/>
      <family val="2"/>
    </font>
    <font>
      <sz val="9"/>
      <color theme="1"/>
      <name val="Calibri"/>
      <family val="2"/>
      <charset val="1"/>
      <scheme val="minor"/>
    </font>
    <font>
      <sz val="12"/>
      <name val="Calibri"/>
      <family val="2"/>
      <scheme val="minor"/>
    </font>
    <font>
      <sz val="12"/>
      <name val="Arial Narrow"/>
      <family val="2"/>
    </font>
    <font>
      <b/>
      <sz val="12"/>
      <color theme="1"/>
      <name val="Arial"/>
      <family val="2"/>
    </font>
    <font>
      <sz val="9"/>
      <color indexed="81"/>
      <name val="Tahoma"/>
      <charset val="1"/>
    </font>
    <font>
      <b/>
      <sz val="9"/>
      <color indexed="81"/>
      <name val="Tahoma"/>
      <charset val="1"/>
    </font>
    <font>
      <sz val="12"/>
      <color theme="1"/>
      <name val="Calibri"/>
      <family val="2"/>
      <charset val="1"/>
      <scheme val="minor"/>
    </font>
  </fonts>
  <fills count="16">
    <fill>
      <patternFill patternType="none"/>
    </fill>
    <fill>
      <patternFill patternType="gray125"/>
    </fill>
    <fill>
      <patternFill patternType="solid">
        <fgColor theme="7"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ck">
        <color auto="1"/>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ck">
        <color auto="1"/>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s>
  <cellStyleXfs count="5">
    <xf numFmtId="0" fontId="0" fillId="0" borderId="0"/>
    <xf numFmtId="0" fontId="12" fillId="0" borderId="0" applyNumberFormat="0" applyFill="0" applyBorder="0" applyAlignment="0" applyProtection="0">
      <alignment vertical="top"/>
      <protection locked="0"/>
    </xf>
    <xf numFmtId="0" fontId="3" fillId="0" borderId="0"/>
    <xf numFmtId="0" fontId="2" fillId="0" borderId="0"/>
    <xf numFmtId="0" fontId="1" fillId="0" borderId="0"/>
  </cellStyleXfs>
  <cellXfs count="339">
    <xf numFmtId="0" fontId="0" fillId="0" borderId="0" xfId="0"/>
    <xf numFmtId="0" fontId="12" fillId="8" borderId="1" xfId="1" applyFill="1" applyBorder="1" applyAlignment="1" applyProtection="1">
      <alignment horizontal="center" vertical="center"/>
    </xf>
    <xf numFmtId="0" fontId="0" fillId="5" borderId="0" xfId="0" applyFill="1" applyBorder="1"/>
    <xf numFmtId="0" fontId="11" fillId="5" borderId="0" xfId="0" applyFont="1" applyFill="1" applyBorder="1"/>
    <xf numFmtId="0" fontId="10" fillId="4" borderId="11" xfId="0" applyFont="1" applyFill="1" applyBorder="1"/>
    <xf numFmtId="0" fontId="10" fillId="4" borderId="19" xfId="0" applyFont="1" applyFill="1" applyBorder="1"/>
    <xf numFmtId="0" fontId="0" fillId="5" borderId="20" xfId="0" applyFill="1" applyBorder="1"/>
    <xf numFmtId="0" fontId="0" fillId="5" borderId="21" xfId="0" applyFill="1" applyBorder="1"/>
    <xf numFmtId="0" fontId="0" fillId="5" borderId="22" xfId="0" applyFill="1" applyBorder="1"/>
    <xf numFmtId="0" fontId="0" fillId="5" borderId="23" xfId="0" applyFill="1" applyBorder="1"/>
    <xf numFmtId="0" fontId="0" fillId="5" borderId="24" xfId="0" applyFill="1" applyBorder="1"/>
    <xf numFmtId="0" fontId="0" fillId="9" borderId="18" xfId="0" applyFill="1" applyBorder="1"/>
    <xf numFmtId="0" fontId="0" fillId="9" borderId="11" xfId="0" applyFill="1" applyBorder="1"/>
    <xf numFmtId="0" fontId="0" fillId="9" borderId="22" xfId="0" applyFill="1" applyBorder="1"/>
    <xf numFmtId="0" fontId="0" fillId="9" borderId="23" xfId="0" applyFill="1" applyBorder="1"/>
    <xf numFmtId="0" fontId="0" fillId="2" borderId="25" xfId="0" applyFill="1" applyBorder="1"/>
    <xf numFmtId="0" fontId="0" fillId="2" borderId="13"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14" xfId="0" applyFill="1" applyBorder="1"/>
    <xf numFmtId="0" fontId="0" fillId="2" borderId="30" xfId="0" applyFill="1" applyBorder="1"/>
    <xf numFmtId="0" fontId="3" fillId="0" borderId="0" xfId="2"/>
    <xf numFmtId="0" fontId="22" fillId="0" borderId="0" xfId="2" applyFont="1"/>
    <xf numFmtId="0" fontId="7" fillId="0" borderId="0" xfId="2" applyFont="1"/>
    <xf numFmtId="0" fontId="24" fillId="0" borderId="0" xfId="2" applyFont="1" applyBorder="1"/>
    <xf numFmtId="0" fontId="24" fillId="0" borderId="32" xfId="2" applyFont="1" applyBorder="1"/>
    <xf numFmtId="0" fontId="3" fillId="0" borderId="32" xfId="2" applyBorder="1"/>
    <xf numFmtId="0" fontId="3" fillId="0" borderId="0" xfId="2" applyBorder="1"/>
    <xf numFmtId="0" fontId="30" fillId="0" borderId="0" xfId="2" applyFont="1"/>
    <xf numFmtId="0" fontId="3" fillId="0" borderId="7" xfId="2" applyBorder="1"/>
    <xf numFmtId="0" fontId="26" fillId="0" borderId="0" xfId="2" applyFont="1"/>
    <xf numFmtId="0" fontId="0" fillId="3" borderId="0" xfId="0" applyFill="1"/>
    <xf numFmtId="0" fontId="12" fillId="3" borderId="1" xfId="1" applyFill="1" applyBorder="1" applyAlignment="1" applyProtection="1">
      <alignment horizontal="center" vertical="center"/>
    </xf>
    <xf numFmtId="165" fontId="0" fillId="3" borderId="0" xfId="0" applyNumberFormat="1" applyFill="1"/>
    <xf numFmtId="0" fontId="27" fillId="3" borderId="1" xfId="0" applyFont="1" applyFill="1" applyBorder="1" applyAlignment="1">
      <alignment horizontal="center"/>
    </xf>
    <xf numFmtId="0" fontId="27" fillId="3" borderId="1" xfId="0" applyFont="1" applyFill="1" applyBorder="1"/>
    <xf numFmtId="0" fontId="0" fillId="3" borderId="0" xfId="0" applyFill="1" applyAlignment="1">
      <alignment horizontal="right"/>
    </xf>
    <xf numFmtId="0" fontId="0" fillId="9" borderId="0" xfId="0" applyFill="1"/>
    <xf numFmtId="0" fontId="0" fillId="9" borderId="1" xfId="0" applyFill="1" applyBorder="1" applyProtection="1">
      <protection locked="0"/>
    </xf>
    <xf numFmtId="0" fontId="0" fillId="9" borderId="1" xfId="0" quotePrefix="1" applyFill="1" applyBorder="1" applyAlignment="1" applyProtection="1">
      <alignment horizontal="center"/>
      <protection locked="0"/>
    </xf>
    <xf numFmtId="49" fontId="23" fillId="9" borderId="1" xfId="0" applyNumberFormat="1" applyFont="1" applyFill="1" applyBorder="1" applyAlignment="1" applyProtection="1">
      <alignment horizontal="center"/>
      <protection locked="0"/>
    </xf>
    <xf numFmtId="0" fontId="0" fillId="9" borderId="1" xfId="0" quotePrefix="1" applyFill="1" applyBorder="1" applyProtection="1">
      <protection locked="0"/>
    </xf>
    <xf numFmtId="0" fontId="21" fillId="9" borderId="1" xfId="0" applyFont="1" applyFill="1" applyBorder="1" applyAlignment="1" applyProtection="1">
      <alignment vertical="center"/>
      <protection locked="0"/>
    </xf>
    <xf numFmtId="0" fontId="0" fillId="9" borderId="0" xfId="0" applyFill="1" applyProtection="1">
      <protection locked="0"/>
    </xf>
    <xf numFmtId="0" fontId="3" fillId="0" borderId="0" xfId="2" applyProtection="1">
      <protection locked="0"/>
    </xf>
    <xf numFmtId="0" fontId="0" fillId="0" borderId="0" xfId="2" applyFont="1" applyProtection="1">
      <protection locked="0"/>
    </xf>
    <xf numFmtId="0" fontId="3" fillId="9" borderId="33" xfId="2" applyFill="1" applyBorder="1"/>
    <xf numFmtId="0" fontId="3" fillId="9" borderId="0" xfId="2" applyFill="1"/>
    <xf numFmtId="0" fontId="3" fillId="9" borderId="14" xfId="2" applyFill="1" applyBorder="1"/>
    <xf numFmtId="0" fontId="29" fillId="10" borderId="0" xfId="2" applyFont="1" applyFill="1" applyAlignment="1" applyProtection="1">
      <alignment horizontal="center"/>
      <protection locked="0"/>
    </xf>
    <xf numFmtId="1" fontId="0" fillId="0" borderId="0" xfId="0" applyNumberFormat="1"/>
    <xf numFmtId="1" fontId="0" fillId="0" borderId="0" xfId="0" applyNumberFormat="1" applyAlignment="1">
      <alignment horizontal="center"/>
    </xf>
    <xf numFmtId="1" fontId="12" fillId="9" borderId="0" xfId="1" applyNumberFormat="1" applyFill="1" applyBorder="1" applyAlignment="1" applyProtection="1">
      <alignment horizontal="center" wrapText="1"/>
    </xf>
    <xf numFmtId="1" fontId="0" fillId="0" borderId="0" xfId="0" applyNumberFormat="1" applyBorder="1"/>
    <xf numFmtId="1" fontId="9" fillId="2" borderId="9" xfId="0" applyNumberFormat="1" applyFont="1" applyFill="1" applyBorder="1" applyAlignment="1">
      <alignment horizontal="center"/>
    </xf>
    <xf numFmtId="1" fontId="17" fillId="0" borderId="16" xfId="0" applyNumberFormat="1" applyFont="1" applyBorder="1" applyAlignment="1">
      <alignment horizontal="center" vertical="center"/>
    </xf>
    <xf numFmtId="1" fontId="17" fillId="0" borderId="6" xfId="0" applyNumberFormat="1" applyFont="1" applyBorder="1" applyAlignment="1">
      <alignment vertical="center"/>
    </xf>
    <xf numFmtId="1" fontId="26" fillId="0" borderId="5" xfId="2" applyNumberFormat="1" applyFont="1" applyBorder="1" applyAlignment="1">
      <alignment wrapText="1"/>
    </xf>
    <xf numFmtId="1" fontId="26" fillId="0" borderId="0" xfId="2" applyNumberFormat="1" applyFont="1" applyBorder="1"/>
    <xf numFmtId="1" fontId="8" fillId="0" borderId="3" xfId="0" applyNumberFormat="1" applyFont="1" applyFill="1" applyBorder="1" applyAlignment="1">
      <alignment horizontal="center" vertical="center"/>
    </xf>
    <xf numFmtId="1" fontId="18" fillId="0" borderId="1" xfId="0" applyNumberFormat="1" applyFont="1" applyBorder="1" applyAlignment="1" applyProtection="1">
      <alignment horizontal="center" vertical="center"/>
    </xf>
    <xf numFmtId="1" fontId="18" fillId="0" borderId="1" xfId="0" applyNumberFormat="1" applyFont="1" applyBorder="1" applyAlignment="1" applyProtection="1">
      <alignment horizontal="center"/>
      <protection locked="0"/>
    </xf>
    <xf numFmtId="1" fontId="17" fillId="0" borderId="0" xfId="0" applyNumberFormat="1" applyFont="1" applyBorder="1" applyAlignment="1">
      <alignment vertical="center"/>
    </xf>
    <xf numFmtId="1" fontId="16" fillId="0" borderId="6" xfId="0" quotePrefix="1" applyNumberFormat="1" applyFont="1" applyBorder="1" applyAlignment="1">
      <alignment vertical="center" wrapText="1"/>
    </xf>
    <xf numFmtId="1" fontId="21" fillId="0" borderId="5" xfId="0" applyNumberFormat="1" applyFont="1" applyFill="1" applyBorder="1" applyAlignment="1">
      <alignment vertical="center"/>
    </xf>
    <xf numFmtId="1" fontId="18" fillId="0" borderId="1" xfId="0" applyNumberFormat="1" applyFont="1" applyBorder="1" applyAlignment="1">
      <alignment horizontal="center" vertical="center"/>
    </xf>
    <xf numFmtId="1" fontId="19" fillId="0" borderId="1" xfId="0" applyNumberFormat="1" applyFont="1" applyBorder="1" applyAlignment="1">
      <alignment horizontal="center"/>
    </xf>
    <xf numFmtId="1" fontId="18" fillId="0" borderId="1" xfId="0" applyNumberFormat="1" applyFont="1" applyBorder="1" applyAlignment="1" applyProtection="1">
      <alignment horizontal="center" vertical="center"/>
      <protection locked="0"/>
    </xf>
    <xf numFmtId="1" fontId="20" fillId="11" borderId="1" xfId="0" applyNumberFormat="1" applyFont="1" applyFill="1" applyBorder="1" applyAlignment="1">
      <alignment horizontal="center"/>
    </xf>
    <xf numFmtId="1" fontId="18" fillId="9" borderId="1" xfId="0" applyNumberFormat="1" applyFont="1" applyFill="1" applyBorder="1" applyAlignment="1">
      <alignment horizontal="center"/>
    </xf>
    <xf numFmtId="1" fontId="17" fillId="0" borderId="17" xfId="0" applyNumberFormat="1" applyFont="1" applyBorder="1" applyAlignment="1">
      <alignment horizontal="center" vertical="center"/>
    </xf>
    <xf numFmtId="1" fontId="17" fillId="0" borderId="12" xfId="0" applyNumberFormat="1" applyFont="1" applyBorder="1" applyAlignment="1">
      <alignment vertical="center"/>
    </xf>
    <xf numFmtId="1" fontId="16" fillId="0" borderId="12" xfId="0" quotePrefix="1" applyNumberFormat="1" applyFont="1" applyBorder="1" applyAlignment="1">
      <alignment vertical="center" wrapText="1"/>
    </xf>
    <xf numFmtId="1" fontId="21" fillId="0" borderId="10" xfId="0" applyNumberFormat="1" applyFont="1" applyFill="1" applyBorder="1" applyAlignment="1">
      <alignment vertical="center"/>
    </xf>
    <xf numFmtId="1" fontId="20" fillId="0" borderId="9" xfId="0" applyNumberFormat="1" applyFont="1" applyBorder="1" applyAlignment="1">
      <alignment horizontal="center" vertical="center"/>
    </xf>
    <xf numFmtId="1" fontId="7" fillId="0" borderId="0" xfId="0" applyNumberFormat="1" applyFont="1" applyBorder="1" applyAlignment="1">
      <alignment vertical="center"/>
    </xf>
    <xf numFmtId="1" fontId="17" fillId="0" borderId="0" xfId="0" applyNumberFormat="1" applyFont="1" applyBorder="1" applyAlignment="1">
      <alignment horizontal="center" vertical="center"/>
    </xf>
    <xf numFmtId="1" fontId="16" fillId="0" borderId="0" xfId="0" quotePrefix="1" applyNumberFormat="1" applyFont="1" applyBorder="1" applyAlignment="1">
      <alignment vertical="center" wrapText="1"/>
    </xf>
    <xf numFmtId="1" fontId="7" fillId="0" borderId="0" xfId="0" applyNumberFormat="1" applyFont="1" applyBorder="1" applyAlignment="1">
      <alignment horizontal="center" vertical="center"/>
    </xf>
    <xf numFmtId="1" fontId="7" fillId="0" borderId="0" xfId="0" applyNumberFormat="1" applyFont="1" applyBorder="1" applyAlignment="1">
      <alignment vertical="center" wrapText="1"/>
    </xf>
    <xf numFmtId="1" fontId="0" fillId="0" borderId="0" xfId="0" applyNumberFormat="1" applyAlignment="1">
      <alignment wrapText="1"/>
    </xf>
    <xf numFmtId="2" fontId="0" fillId="9" borderId="0" xfId="0" applyNumberFormat="1" applyFill="1"/>
    <xf numFmtId="1" fontId="26" fillId="9" borderId="0" xfId="2" applyNumberFormat="1" applyFont="1" applyFill="1" applyBorder="1" applyAlignment="1">
      <alignment horizontal="center" vertical="center"/>
    </xf>
    <xf numFmtId="0" fontId="3" fillId="9" borderId="0" xfId="2" applyFill="1" applyBorder="1"/>
    <xf numFmtId="0" fontId="29" fillId="0" borderId="0" xfId="2" applyFont="1" applyBorder="1"/>
    <xf numFmtId="0" fontId="29" fillId="0" borderId="32" xfId="2" applyFont="1" applyBorder="1"/>
    <xf numFmtId="0" fontId="31" fillId="0" borderId="32" xfId="2" applyFont="1" applyBorder="1"/>
    <xf numFmtId="0" fontId="29" fillId="0" borderId="14" xfId="2" applyFont="1" applyBorder="1"/>
    <xf numFmtId="0" fontId="31" fillId="0" borderId="0" xfId="2" applyFont="1"/>
    <xf numFmtId="0" fontId="29" fillId="9" borderId="14" xfId="2" applyFont="1" applyFill="1" applyBorder="1"/>
    <xf numFmtId="0" fontId="24" fillId="9" borderId="0" xfId="2" applyFont="1" applyFill="1"/>
    <xf numFmtId="0" fontId="34" fillId="9" borderId="33" xfId="2" applyFont="1" applyFill="1" applyBorder="1"/>
    <xf numFmtId="0" fontId="33" fillId="0" borderId="33" xfId="2" applyFont="1" applyBorder="1"/>
    <xf numFmtId="1" fontId="18" fillId="9" borderId="1" xfId="0" applyNumberFormat="1" applyFont="1" applyFill="1" applyBorder="1" applyAlignment="1" applyProtection="1">
      <alignment horizontal="center" vertical="center"/>
      <protection locked="0"/>
    </xf>
    <xf numFmtId="1" fontId="26" fillId="0" borderId="15" xfId="2" applyNumberFormat="1" applyFont="1" applyBorder="1" applyAlignment="1">
      <alignment wrapText="1"/>
    </xf>
    <xf numFmtId="0" fontId="29" fillId="0" borderId="32" xfId="2" applyFont="1" applyBorder="1" applyAlignment="1">
      <alignment horizontal="left"/>
    </xf>
    <xf numFmtId="0" fontId="0" fillId="9" borderId="1" xfId="0" applyFill="1" applyBorder="1" applyAlignment="1" applyProtection="1">
      <alignment horizontal="center"/>
      <protection locked="0"/>
    </xf>
    <xf numFmtId="0" fontId="0" fillId="3" borderId="0" xfId="0" applyFill="1" applyAlignment="1">
      <alignment horizontal="center"/>
    </xf>
    <xf numFmtId="0" fontId="0" fillId="3" borderId="0" xfId="0" applyFill="1" applyBorder="1" applyProtection="1">
      <protection locked="0"/>
    </xf>
    <xf numFmtId="0" fontId="0" fillId="3" borderId="0" xfId="0" quotePrefix="1" applyFill="1" applyBorder="1" applyAlignment="1" applyProtection="1">
      <alignment horizontal="center"/>
      <protection locked="0"/>
    </xf>
    <xf numFmtId="49" fontId="23" fillId="3" borderId="0" xfId="0" applyNumberFormat="1" applyFont="1" applyFill="1" applyBorder="1" applyAlignment="1" applyProtection="1">
      <alignment horizontal="center"/>
      <protection locked="0"/>
    </xf>
    <xf numFmtId="0" fontId="0" fillId="3" borderId="0" xfId="0" quotePrefix="1" applyFill="1" applyBorder="1" applyProtection="1">
      <protection locked="0"/>
    </xf>
    <xf numFmtId="0" fontId="21" fillId="3" borderId="0" xfId="0" applyFont="1" applyFill="1" applyBorder="1" applyAlignment="1" applyProtection="1">
      <alignment vertical="center"/>
      <protection locked="0"/>
    </xf>
    <xf numFmtId="0" fontId="0" fillId="3" borderId="0" xfId="0" applyFill="1" applyBorder="1" applyAlignment="1" applyProtection="1">
      <alignment horizontal="right"/>
      <protection locked="0"/>
    </xf>
    <xf numFmtId="0" fontId="36" fillId="3" borderId="0" xfId="0" applyFont="1" applyFill="1" applyBorder="1" applyAlignment="1" applyProtection="1">
      <alignment horizontal="center"/>
      <protection locked="0"/>
    </xf>
    <xf numFmtId="0" fontId="31" fillId="12" borderId="0" xfId="2" applyFont="1" applyFill="1" applyProtection="1">
      <protection locked="0"/>
    </xf>
    <xf numFmtId="0" fontId="22" fillId="12" borderId="0" xfId="2" applyFont="1" applyFill="1"/>
    <xf numFmtId="0" fontId="3" fillId="12" borderId="0" xfId="2" applyFill="1"/>
    <xf numFmtId="0" fontId="0" fillId="3" borderId="1" xfId="0" applyFill="1" applyBorder="1" applyAlignment="1">
      <alignment horizontal="center"/>
    </xf>
    <xf numFmtId="0" fontId="41" fillId="5" borderId="23" xfId="0" applyFont="1" applyFill="1" applyBorder="1"/>
    <xf numFmtId="0" fontId="0" fillId="9" borderId="0" xfId="0" applyFill="1" applyAlignment="1" applyProtection="1">
      <alignment horizontal="left"/>
      <protection locked="0"/>
    </xf>
    <xf numFmtId="49" fontId="0" fillId="9" borderId="0" xfId="0" applyNumberFormat="1" applyFill="1" applyAlignment="1" applyProtection="1">
      <alignment horizontal="left"/>
      <protection locked="0"/>
    </xf>
    <xf numFmtId="14" fontId="0" fillId="5" borderId="0" xfId="0" applyNumberFormat="1" applyFill="1" applyBorder="1"/>
    <xf numFmtId="0" fontId="27" fillId="3" borderId="0" xfId="0" applyFont="1" applyFill="1"/>
    <xf numFmtId="0" fontId="3" fillId="0" borderId="0" xfId="2" applyAlignment="1">
      <alignment vertical="center"/>
    </xf>
    <xf numFmtId="0" fontId="36" fillId="0" borderId="2" xfId="2" applyFont="1" applyBorder="1" applyAlignment="1">
      <alignment horizontal="center" wrapText="1"/>
    </xf>
    <xf numFmtId="0" fontId="36" fillId="0" borderId="3" xfId="2" applyFont="1" applyBorder="1" applyAlignment="1">
      <alignment horizontal="center" vertical="top"/>
    </xf>
    <xf numFmtId="0" fontId="3" fillId="0" borderId="1" xfId="2" applyBorder="1" applyAlignment="1">
      <alignment vertical="center"/>
    </xf>
    <xf numFmtId="0" fontId="3" fillId="3" borderId="0" xfId="2" applyFill="1" applyAlignment="1">
      <alignment vertical="center"/>
    </xf>
    <xf numFmtId="0" fontId="32" fillId="0" borderId="1" xfId="2" applyFont="1" applyBorder="1" applyAlignment="1" applyProtection="1">
      <alignment horizontal="center" vertical="center"/>
      <protection locked="0"/>
    </xf>
    <xf numFmtId="1" fontId="26" fillId="9" borderId="0" xfId="2" applyNumberFormat="1" applyFont="1" applyFill="1" applyBorder="1" applyAlignment="1" applyProtection="1">
      <alignment horizontal="center" vertical="center"/>
      <protection locked="0"/>
    </xf>
    <xf numFmtId="1" fontId="26" fillId="9" borderId="0" xfId="2" applyNumberFormat="1" applyFont="1" applyFill="1" applyBorder="1" applyAlignment="1" applyProtection="1">
      <alignment vertical="center"/>
      <protection locked="0"/>
    </xf>
    <xf numFmtId="0" fontId="3" fillId="0" borderId="2" xfId="2" applyBorder="1" applyAlignment="1" applyProtection="1">
      <alignment horizontal="center" vertical="center"/>
      <protection locked="0"/>
    </xf>
    <xf numFmtId="0" fontId="3" fillId="0" borderId="5" xfId="2" applyBorder="1" applyAlignment="1" applyProtection="1">
      <alignment vertical="center"/>
      <protection locked="0"/>
    </xf>
    <xf numFmtId="1" fontId="26" fillId="9" borderId="0" xfId="2" applyNumberFormat="1" applyFont="1" applyFill="1" applyBorder="1" applyAlignment="1">
      <alignment vertical="center"/>
    </xf>
    <xf numFmtId="2" fontId="20" fillId="14" borderId="9" xfId="0" applyNumberFormat="1" applyFont="1" applyFill="1" applyBorder="1" applyAlignment="1">
      <alignment horizontal="center" vertical="center"/>
    </xf>
    <xf numFmtId="0" fontId="42" fillId="0" borderId="0" xfId="2" applyFont="1"/>
    <xf numFmtId="2" fontId="29" fillId="9" borderId="4" xfId="2" applyNumberFormat="1" applyFont="1" applyFill="1" applyBorder="1" applyAlignment="1">
      <alignment horizontal="center" vertical="center"/>
    </xf>
    <xf numFmtId="0" fontId="35" fillId="0" borderId="0" xfId="0" applyFont="1" applyAlignment="1" applyProtection="1">
      <alignment horizontal="center"/>
      <protection hidden="1"/>
    </xf>
    <xf numFmtId="0" fontId="43" fillId="4" borderId="11" xfId="0" applyFont="1" applyFill="1" applyBorder="1"/>
    <xf numFmtId="0" fontId="44" fillId="10" borderId="0" xfId="2" applyFont="1" applyFill="1" applyAlignment="1" applyProtection="1">
      <alignment horizontal="center"/>
      <protection locked="0"/>
    </xf>
    <xf numFmtId="1" fontId="5" fillId="2" borderId="35"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17" fillId="0" borderId="48" xfId="0" applyNumberFormat="1" applyFont="1" applyBorder="1" applyAlignment="1">
      <alignment horizontal="center" vertical="center"/>
    </xf>
    <xf numFmtId="1" fontId="17" fillId="0" borderId="49" xfId="0" applyNumberFormat="1" applyFont="1" applyBorder="1" applyAlignment="1">
      <alignment vertical="center"/>
    </xf>
    <xf numFmtId="1" fontId="26" fillId="0" borderId="13" xfId="2" applyNumberFormat="1" applyFont="1" applyBorder="1"/>
    <xf numFmtId="1" fontId="8" fillId="0" borderId="35" xfId="0" applyNumberFormat="1" applyFont="1" applyFill="1" applyBorder="1" applyAlignment="1">
      <alignment horizontal="center" vertical="center"/>
    </xf>
    <xf numFmtId="1" fontId="19" fillId="0" borderId="35" xfId="0" applyNumberFormat="1" applyFont="1" applyBorder="1" applyAlignment="1">
      <alignment horizontal="center"/>
    </xf>
    <xf numFmtId="1" fontId="18" fillId="0" borderId="35" xfId="0" applyNumberFormat="1" applyFont="1" applyBorder="1" applyAlignment="1" applyProtection="1">
      <alignment horizontal="center" vertical="center"/>
      <protection locked="0"/>
    </xf>
    <xf numFmtId="1" fontId="18" fillId="9" borderId="35" xfId="0" applyNumberFormat="1" applyFont="1" applyFill="1" applyBorder="1" applyAlignment="1" applyProtection="1">
      <alignment horizontal="center" vertical="center"/>
      <protection locked="0"/>
    </xf>
    <xf numFmtId="1" fontId="18" fillId="0" borderId="35" xfId="0" applyNumberFormat="1" applyFont="1" applyBorder="1" applyAlignment="1" applyProtection="1">
      <alignment horizontal="center" vertical="center"/>
    </xf>
    <xf numFmtId="1" fontId="18" fillId="0" borderId="35" xfId="0" applyNumberFormat="1" applyFont="1" applyBorder="1" applyAlignment="1" applyProtection="1">
      <alignment horizontal="center"/>
      <protection locked="0"/>
    </xf>
    <xf numFmtId="0" fontId="17" fillId="0" borderId="0" xfId="3" applyFont="1" applyAlignment="1"/>
    <xf numFmtId="0" fontId="15" fillId="0" borderId="0" xfId="3" applyFont="1"/>
    <xf numFmtId="0" fontId="45" fillId="0" borderId="0" xfId="3" applyFont="1" applyAlignment="1"/>
    <xf numFmtId="0" fontId="17" fillId="0" borderId="0" xfId="3" applyFont="1" applyBorder="1" applyAlignment="1"/>
    <xf numFmtId="0" fontId="46" fillId="0" borderId="0" xfId="3" applyFont="1" applyAlignment="1">
      <alignment horizontal="center"/>
    </xf>
    <xf numFmtId="0" fontId="47" fillId="0" borderId="0" xfId="3" applyFont="1" applyAlignment="1"/>
    <xf numFmtId="0" fontId="17" fillId="0" borderId="0" xfId="3" applyFont="1" applyAlignment="1" applyProtection="1">
      <alignment vertical="center"/>
      <protection locked="0"/>
    </xf>
    <xf numFmtId="0" fontId="15" fillId="0" borderId="0" xfId="3" applyFont="1" applyProtection="1">
      <protection locked="0"/>
    </xf>
    <xf numFmtId="0" fontId="15" fillId="9" borderId="0" xfId="3" applyFont="1" applyFill="1" applyAlignment="1" applyProtection="1">
      <protection locked="0"/>
    </xf>
    <xf numFmtId="0" fontId="15" fillId="0" borderId="0" xfId="3" applyFont="1" applyBorder="1"/>
    <xf numFmtId="0" fontId="15" fillId="0" borderId="32" xfId="3" applyFont="1" applyBorder="1"/>
    <xf numFmtId="0" fontId="16" fillId="0" borderId="0" xfId="3" applyFont="1"/>
    <xf numFmtId="0" fontId="6" fillId="0" borderId="2" xfId="3" applyFont="1" applyBorder="1" applyAlignment="1">
      <alignment horizontal="center" wrapText="1"/>
    </xf>
    <xf numFmtId="0" fontId="6" fillId="0" borderId="3" xfId="3" applyFont="1" applyBorder="1" applyAlignment="1">
      <alignment horizontal="center" vertical="top"/>
    </xf>
    <xf numFmtId="0" fontId="48" fillId="0" borderId="0" xfId="3" applyFont="1" applyBorder="1" applyAlignment="1" applyProtection="1">
      <alignment horizontal="center" vertical="center"/>
      <protection locked="0"/>
    </xf>
    <xf numFmtId="0" fontId="48" fillId="0" borderId="1" xfId="3" applyFont="1" applyBorder="1" applyAlignment="1" applyProtection="1">
      <alignment horizontal="center" vertical="center"/>
      <protection locked="0"/>
    </xf>
    <xf numFmtId="0" fontId="48" fillId="0" borderId="8" xfId="3" applyFont="1" applyBorder="1" applyAlignment="1" applyProtection="1">
      <alignment vertical="center"/>
      <protection locked="0"/>
    </xf>
    <xf numFmtId="0" fontId="15" fillId="0" borderId="4" xfId="3" applyFont="1" applyBorder="1"/>
    <xf numFmtId="0" fontId="15" fillId="0" borderId="0" xfId="3" applyFont="1" applyBorder="1" applyAlignment="1" applyProtection="1">
      <alignment horizontal="center" vertical="center"/>
      <protection locked="0"/>
    </xf>
    <xf numFmtId="0" fontId="15" fillId="0" borderId="1" xfId="3" applyFont="1" applyBorder="1" applyAlignment="1" applyProtection="1">
      <alignment horizontal="center" vertical="center"/>
      <protection locked="0"/>
    </xf>
    <xf numFmtId="0" fontId="15" fillId="0" borderId="8" xfId="3" applyFont="1" applyBorder="1" applyAlignment="1" applyProtection="1">
      <alignment vertical="center"/>
      <protection locked="0"/>
    </xf>
    <xf numFmtId="0" fontId="15" fillId="0" borderId="8" xfId="3" applyFont="1" applyBorder="1"/>
    <xf numFmtId="0" fontId="15" fillId="0" borderId="0" xfId="3" applyFont="1" applyBorder="1" applyAlignment="1" applyProtection="1">
      <alignment vertical="center"/>
      <protection locked="0"/>
    </xf>
    <xf numFmtId="0" fontId="15" fillId="0" borderId="1" xfId="3" applyFont="1" applyBorder="1" applyAlignment="1" applyProtection="1">
      <alignment vertical="center"/>
      <protection locked="0"/>
    </xf>
    <xf numFmtId="0" fontId="15" fillId="0" borderId="43" xfId="3" applyFont="1" applyBorder="1" applyAlignment="1" applyProtection="1">
      <alignment vertical="center"/>
      <protection locked="0"/>
    </xf>
    <xf numFmtId="0" fontId="15" fillId="0" borderId="43" xfId="3" applyFont="1" applyBorder="1"/>
    <xf numFmtId="0" fontId="15" fillId="0" borderId="44" xfId="3" applyFont="1" applyBorder="1"/>
    <xf numFmtId="0" fontId="15" fillId="0" borderId="1" xfId="3" applyFont="1" applyBorder="1"/>
    <xf numFmtId="0" fontId="20" fillId="0" borderId="8" xfId="3" applyFont="1" applyBorder="1" applyAlignment="1">
      <alignment vertical="center"/>
    </xf>
    <xf numFmtId="0" fontId="15" fillId="9" borderId="0" xfId="3" applyFont="1" applyFill="1" applyBorder="1"/>
    <xf numFmtId="0" fontId="16" fillId="9" borderId="0" xfId="3" applyFont="1" applyFill="1" applyBorder="1"/>
    <xf numFmtId="0" fontId="16" fillId="9" borderId="0" xfId="3" applyFont="1" applyFill="1"/>
    <xf numFmtId="0" fontId="15" fillId="9" borderId="0" xfId="3" applyFont="1" applyFill="1"/>
    <xf numFmtId="0" fontId="16" fillId="0" borderId="0" xfId="3" applyFont="1" applyBorder="1"/>
    <xf numFmtId="0" fontId="6" fillId="9" borderId="41" xfId="3" applyFont="1" applyFill="1" applyBorder="1"/>
    <xf numFmtId="0" fontId="16" fillId="9" borderId="41" xfId="3" applyFont="1" applyFill="1" applyBorder="1"/>
    <xf numFmtId="2" fontId="21" fillId="9" borderId="4" xfId="3" applyNumberFormat="1" applyFont="1" applyFill="1" applyBorder="1" applyAlignment="1">
      <alignment horizontal="center" vertical="center"/>
    </xf>
    <xf numFmtId="0" fontId="20" fillId="9" borderId="14" xfId="2" applyFont="1" applyFill="1" applyBorder="1"/>
    <xf numFmtId="0" fontId="15" fillId="9" borderId="0" xfId="2" applyFont="1" applyFill="1"/>
    <xf numFmtId="0" fontId="15" fillId="0" borderId="0" xfId="2" applyFont="1" applyAlignment="1">
      <alignment horizontal="left"/>
    </xf>
    <xf numFmtId="0" fontId="15" fillId="0" borderId="0" xfId="2" applyFont="1" applyBorder="1"/>
    <xf numFmtId="0" fontId="15" fillId="0" borderId="32" xfId="2" applyFont="1" applyBorder="1"/>
    <xf numFmtId="0" fontId="15" fillId="0" borderId="32" xfId="2" applyFont="1" applyBorder="1" applyAlignment="1">
      <alignment horizontal="left"/>
    </xf>
    <xf numFmtId="0" fontId="15" fillId="3" borderId="1" xfId="3" applyFont="1" applyFill="1" applyBorder="1" applyAlignment="1">
      <alignment horizontal="center"/>
    </xf>
    <xf numFmtId="0" fontId="15" fillId="3" borderId="0" xfId="3" applyFont="1" applyFill="1"/>
    <xf numFmtId="0" fontId="45" fillId="0" borderId="0" xfId="3" applyFont="1" applyAlignment="1" applyProtection="1">
      <alignment horizontal="center"/>
      <protection locked="0"/>
    </xf>
    <xf numFmtId="0" fontId="15" fillId="10" borderId="31" xfId="3" applyFont="1" applyFill="1" applyBorder="1" applyProtection="1">
      <protection locked="0"/>
    </xf>
    <xf numFmtId="0" fontId="0" fillId="15" borderId="0" xfId="0" applyFill="1"/>
    <xf numFmtId="1" fontId="4" fillId="0" borderId="0" xfId="0" applyNumberFormat="1" applyFont="1" applyAlignment="1"/>
    <xf numFmtId="1" fontId="6" fillId="0" borderId="0" xfId="0" applyNumberFormat="1" applyFont="1" applyAlignment="1"/>
    <xf numFmtId="1" fontId="12" fillId="6" borderId="56" xfId="1" applyNumberFormat="1" applyFill="1" applyBorder="1" applyAlignment="1" applyProtection="1"/>
    <xf numFmtId="0" fontId="27" fillId="3" borderId="0" xfId="0" applyFont="1" applyFill="1" applyAlignment="1">
      <alignment horizontal="center"/>
    </xf>
    <xf numFmtId="0" fontId="36" fillId="3" borderId="14" xfId="0" applyFont="1" applyFill="1" applyBorder="1" applyAlignment="1">
      <alignment horizontal="center"/>
    </xf>
    <xf numFmtId="0" fontId="24" fillId="0" borderId="0" xfId="0" applyFont="1" applyAlignment="1">
      <alignment horizontal="center"/>
    </xf>
    <xf numFmtId="0" fontId="49" fillId="0" borderId="0" xfId="0" applyFont="1"/>
    <xf numFmtId="0" fontId="24" fillId="0" borderId="0" xfId="0" applyFont="1"/>
    <xf numFmtId="0" fontId="49" fillId="0" borderId="0" xfId="0" applyFont="1" applyAlignment="1">
      <alignment horizontal="right"/>
    </xf>
    <xf numFmtId="0" fontId="49" fillId="0" borderId="0" xfId="0" applyFont="1" applyAlignment="1">
      <alignment horizontal="center"/>
    </xf>
    <xf numFmtId="0" fontId="24" fillId="0" borderId="0" xfId="0" applyFont="1" applyAlignment="1">
      <alignment horizontal="left"/>
    </xf>
    <xf numFmtId="0" fontId="24" fillId="0" borderId="0" xfId="0" applyFont="1" applyAlignment="1">
      <alignment horizontal="right"/>
    </xf>
    <xf numFmtId="0" fontId="26" fillId="0" borderId="0" xfId="0" applyFont="1"/>
    <xf numFmtId="2" fontId="24" fillId="0" borderId="0" xfId="0" applyNumberFormat="1" applyFont="1"/>
    <xf numFmtId="2" fontId="24" fillId="0" borderId="0" xfId="0" applyNumberFormat="1" applyFont="1" applyAlignment="1">
      <alignment horizontal="center"/>
    </xf>
    <xf numFmtId="0" fontId="29" fillId="12" borderId="1" xfId="0" applyFont="1" applyFill="1" applyBorder="1" applyProtection="1">
      <protection locked="0"/>
    </xf>
    <xf numFmtId="0" fontId="36" fillId="0" borderId="0" xfId="0" applyFont="1"/>
    <xf numFmtId="1" fontId="4" fillId="3" borderId="1" xfId="0" applyNumberFormat="1" applyFont="1" applyFill="1" applyBorder="1" applyAlignment="1" applyProtection="1">
      <alignment horizontal="center"/>
      <protection locked="0"/>
    </xf>
    <xf numFmtId="0" fontId="15" fillId="3" borderId="0" xfId="3" applyFont="1" applyFill="1" applyBorder="1" applyAlignment="1">
      <alignment horizontal="center"/>
    </xf>
    <xf numFmtId="0" fontId="22" fillId="0" borderId="1" xfId="0" applyFont="1" applyBorder="1" applyAlignment="1" applyProtection="1">
      <alignment horizontal="center" vertical="top" wrapText="1"/>
      <protection locked="0"/>
    </xf>
    <xf numFmtId="49" fontId="0" fillId="0" borderId="7" xfId="0" applyNumberFormat="1" applyBorder="1" applyAlignment="1" applyProtection="1">
      <alignment horizontal="center" vertical="center"/>
      <protection locked="0"/>
    </xf>
    <xf numFmtId="0" fontId="0" fillId="0" borderId="1" xfId="0" applyBorder="1" applyProtection="1">
      <protection locked="0"/>
    </xf>
    <xf numFmtId="164" fontId="0" fillId="0" borderId="0" xfId="0" applyNumberFormat="1" applyBorder="1" applyAlignment="1" applyProtection="1">
      <alignment vertical="center"/>
      <protection locked="0"/>
    </xf>
    <xf numFmtId="1" fontId="51" fillId="9" borderId="1" xfId="0" applyNumberFormat="1" applyFont="1" applyFill="1" applyBorder="1" applyAlignment="1" applyProtection="1">
      <alignment horizontal="center"/>
      <protection locked="0" hidden="1"/>
    </xf>
    <xf numFmtId="2" fontId="20" fillId="14" borderId="1" xfId="0" applyNumberFormat="1" applyFont="1" applyFill="1" applyBorder="1" applyAlignment="1">
      <alignment horizontal="center" vertical="center"/>
    </xf>
    <xf numFmtId="2" fontId="29" fillId="0" borderId="1" xfId="2" applyNumberFormat="1" applyFont="1" applyBorder="1" applyAlignment="1">
      <alignment horizontal="center" vertical="center"/>
    </xf>
    <xf numFmtId="2" fontId="20" fillId="0" borderId="1" xfId="2" applyNumberFormat="1" applyFont="1" applyBorder="1" applyAlignment="1">
      <alignment horizontal="center" vertical="center"/>
    </xf>
    <xf numFmtId="2" fontId="20" fillId="0" borderId="1" xfId="3" applyNumberFormat="1" applyFont="1" applyBorder="1" applyAlignment="1">
      <alignment horizontal="center" vertical="center"/>
    </xf>
    <xf numFmtId="0" fontId="31" fillId="0" borderId="32" xfId="2" applyFont="1" applyBorder="1" applyAlignment="1">
      <alignment horizontal="left"/>
    </xf>
    <xf numFmtId="2" fontId="29" fillId="12" borderId="1" xfId="0" applyNumberFormat="1" applyFont="1" applyFill="1" applyBorder="1" applyAlignment="1" applyProtection="1">
      <alignment horizontal="center"/>
      <protection locked="0"/>
    </xf>
    <xf numFmtId="0" fontId="7" fillId="0" borderId="0" xfId="0" applyFont="1"/>
    <xf numFmtId="0" fontId="7" fillId="0" borderId="0" xfId="0" applyFont="1" applyAlignment="1">
      <alignment horizontal="center"/>
    </xf>
    <xf numFmtId="1" fontId="7" fillId="0" borderId="0" xfId="0" applyNumberFormat="1" applyFont="1"/>
    <xf numFmtId="1" fontId="53" fillId="2" borderId="1" xfId="0" applyNumberFormat="1" applyFont="1" applyFill="1" applyBorder="1" applyAlignment="1">
      <alignment horizontal="center"/>
    </xf>
    <xf numFmtId="1" fontId="7" fillId="0" borderId="1" xfId="0" applyNumberFormat="1" applyFont="1" applyBorder="1"/>
    <xf numFmtId="2" fontId="7" fillId="0" borderId="1" xfId="0" applyNumberFormat="1" applyFont="1" applyBorder="1"/>
    <xf numFmtId="1" fontId="7" fillId="0" borderId="1" xfId="0" applyNumberFormat="1" applyFont="1" applyBorder="1" applyAlignment="1">
      <alignment horizontal="center"/>
    </xf>
    <xf numFmtId="0" fontId="7" fillId="0" borderId="1" xfId="0" applyFont="1" applyBorder="1"/>
    <xf numFmtId="0" fontId="7" fillId="0" borderId="1" xfId="0" applyFont="1" applyBorder="1" applyAlignment="1">
      <alignment horizontal="center"/>
    </xf>
    <xf numFmtId="2" fontId="27" fillId="0" borderId="1" xfId="0" applyNumberFormat="1" applyFont="1" applyBorder="1"/>
    <xf numFmtId="0" fontId="27" fillId="0" borderId="0" xfId="0" applyFont="1"/>
    <xf numFmtId="1" fontId="54" fillId="0" borderId="0" xfId="0" applyNumberFormat="1" applyFont="1" applyAlignment="1">
      <alignment horizontal="right"/>
    </xf>
    <xf numFmtId="49" fontId="0" fillId="0" borderId="1" xfId="0" applyNumberFormat="1" applyBorder="1" applyProtection="1">
      <protection locked="0"/>
    </xf>
    <xf numFmtId="49" fontId="0" fillId="0" borderId="1" xfId="0" quotePrefix="1" applyNumberFormat="1" applyBorder="1" applyProtection="1">
      <protection locked="0"/>
    </xf>
    <xf numFmtId="165" fontId="0" fillId="0" borderId="1" xfId="0" applyNumberFormat="1" applyBorder="1" applyAlignment="1" applyProtection="1">
      <alignment horizontal="left"/>
      <protection locked="0"/>
    </xf>
    <xf numFmtId="165" fontId="0" fillId="0" borderId="1" xfId="0" applyNumberFormat="1" applyBorder="1" applyProtection="1">
      <protection locked="0"/>
    </xf>
    <xf numFmtId="0" fontId="57" fillId="9" borderId="1" xfId="0" applyFont="1" applyFill="1" applyBorder="1" applyProtection="1">
      <protection locked="0"/>
    </xf>
    <xf numFmtId="0" fontId="5" fillId="0" borderId="1" xfId="0" applyFont="1" applyBorder="1" applyProtection="1">
      <protection locked="0"/>
    </xf>
    <xf numFmtId="0" fontId="12" fillId="7" borderId="7" xfId="1" applyFill="1" applyBorder="1" applyAlignment="1" applyProtection="1">
      <alignment horizontal="center"/>
    </xf>
    <xf numFmtId="0" fontId="12" fillId="7" borderId="4" xfId="1" applyFill="1" applyBorder="1" applyAlignment="1" applyProtection="1">
      <alignment horizontal="center"/>
    </xf>
    <xf numFmtId="0" fontId="0" fillId="3" borderId="1" xfId="0" applyFill="1" applyBorder="1" applyAlignment="1">
      <alignment horizontal="center"/>
    </xf>
    <xf numFmtId="0" fontId="40" fillId="13" borderId="0" xfId="0" applyFont="1" applyFill="1" applyBorder="1" applyAlignment="1">
      <alignment horizontal="center"/>
    </xf>
    <xf numFmtId="0" fontId="39" fillId="7" borderId="7" xfId="1" applyFont="1" applyFill="1" applyBorder="1" applyAlignment="1" applyProtection="1">
      <alignment horizontal="center"/>
    </xf>
    <xf numFmtId="0" fontId="39" fillId="7" borderId="4" xfId="1" applyFont="1" applyFill="1" applyBorder="1" applyAlignment="1" applyProtection="1">
      <alignment horizontal="center"/>
    </xf>
    <xf numFmtId="0" fontId="13" fillId="4" borderId="23" xfId="0" applyFont="1" applyFill="1" applyBorder="1" applyAlignment="1">
      <alignment horizontal="center"/>
    </xf>
    <xf numFmtId="0" fontId="13" fillId="4" borderId="24" xfId="0" applyFont="1" applyFill="1" applyBorder="1" applyAlignment="1">
      <alignment horizontal="center"/>
    </xf>
    <xf numFmtId="0" fontId="14" fillId="7" borderId="1" xfId="0" applyFont="1" applyFill="1" applyBorder="1" applyAlignment="1">
      <alignment horizontal="center"/>
    </xf>
    <xf numFmtId="0" fontId="40" fillId="13" borderId="37" xfId="0" applyFont="1" applyFill="1" applyBorder="1" applyAlignment="1">
      <alignment horizontal="center"/>
    </xf>
    <xf numFmtId="0" fontId="27" fillId="3" borderId="1" xfId="0" applyFont="1" applyFill="1" applyBorder="1" applyAlignment="1">
      <alignment horizontal="center"/>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wrapText="1"/>
    </xf>
    <xf numFmtId="0" fontId="0" fillId="0" borderId="3" xfId="0" applyBorder="1"/>
    <xf numFmtId="1" fontId="54" fillId="0" borderId="0" xfId="0" applyNumberFormat="1" applyFont="1" applyAlignment="1">
      <alignment horizontal="center"/>
    </xf>
    <xf numFmtId="1" fontId="54" fillId="0" borderId="55" xfId="0" applyNumberFormat="1" applyFont="1" applyBorder="1" applyAlignment="1">
      <alignment horizontal="center"/>
    </xf>
    <xf numFmtId="1" fontId="20" fillId="0" borderId="53" xfId="0" applyNumberFormat="1" applyFont="1" applyBorder="1" applyAlignment="1">
      <alignment horizontal="center"/>
    </xf>
    <xf numFmtId="1" fontId="20" fillId="0" borderId="51" xfId="0" applyNumberFormat="1" applyFont="1" applyBorder="1" applyAlignment="1">
      <alignment horizontal="center"/>
    </xf>
    <xf numFmtId="1" fontId="20" fillId="0" borderId="52" xfId="0" applyNumberFormat="1" applyFont="1" applyBorder="1" applyAlignment="1">
      <alignment horizontal="center"/>
    </xf>
    <xf numFmtId="1" fontId="20" fillId="0" borderId="54" xfId="0" applyNumberFormat="1" applyFont="1" applyBorder="1" applyAlignment="1">
      <alignment horizontal="center"/>
    </xf>
    <xf numFmtId="1" fontId="8" fillId="2" borderId="35" xfId="0" applyNumberFormat="1"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1" fontId="8" fillId="2" borderId="15"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20" fillId="14" borderId="38" xfId="0" applyNumberFormat="1" applyFont="1" applyFill="1" applyBorder="1" applyAlignment="1">
      <alignment horizontal="left" vertical="center" wrapText="1"/>
    </xf>
    <xf numFmtId="1" fontId="20" fillId="14" borderId="39" xfId="0" applyNumberFormat="1" applyFont="1" applyFill="1" applyBorder="1" applyAlignment="1">
      <alignment horizontal="left" vertical="center" wrapText="1"/>
    </xf>
    <xf numFmtId="1" fontId="16" fillId="14" borderId="7" xfId="0" applyNumberFormat="1" applyFont="1" applyFill="1" applyBorder="1" applyAlignment="1">
      <alignment horizontal="left" vertical="center" wrapText="1"/>
    </xf>
    <xf numFmtId="1" fontId="16" fillId="14" borderId="4" xfId="0" applyNumberFormat="1" applyFont="1" applyFill="1" applyBorder="1" applyAlignment="1">
      <alignment horizontal="left" vertical="center" wrapText="1"/>
    </xf>
    <xf numFmtId="1" fontId="16" fillId="9" borderId="7" xfId="0" applyNumberFormat="1" applyFont="1" applyFill="1" applyBorder="1" applyAlignment="1">
      <alignment horizontal="left" vertical="center" wrapText="1"/>
    </xf>
    <xf numFmtId="1" fontId="16" fillId="9" borderId="4" xfId="0" applyNumberFormat="1" applyFont="1" applyFill="1" applyBorder="1" applyAlignment="1">
      <alignment horizontal="left" vertical="center" wrapText="1"/>
    </xf>
    <xf numFmtId="1" fontId="8" fillId="2" borderId="46"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1" fontId="20" fillId="0" borderId="50" xfId="0" applyNumberFormat="1" applyFont="1" applyBorder="1" applyAlignment="1">
      <alignment horizontal="center"/>
    </xf>
    <xf numFmtId="1" fontId="8" fillId="2" borderId="35" xfId="0" applyNumberFormat="1" applyFont="1" applyFill="1" applyBorder="1" applyAlignment="1">
      <alignment horizontal="center" vertical="center"/>
    </xf>
    <xf numFmtId="1" fontId="8" fillId="2" borderId="9" xfId="0" applyNumberFormat="1" applyFont="1" applyFill="1" applyBorder="1" applyAlignment="1">
      <alignment horizontal="center" vertical="center"/>
    </xf>
    <xf numFmtId="1" fontId="5" fillId="2" borderId="35"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35"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1" fontId="5" fillId="2" borderId="34" xfId="0" applyNumberFormat="1" applyFont="1" applyFill="1" applyBorder="1" applyAlignment="1">
      <alignment horizontal="center" vertical="center"/>
    </xf>
    <xf numFmtId="1" fontId="5" fillId="2" borderId="36" xfId="0" applyNumberFormat="1" applyFont="1" applyFill="1" applyBorder="1" applyAlignment="1">
      <alignment horizontal="center" vertical="center"/>
    </xf>
    <xf numFmtId="1" fontId="8" fillId="2" borderId="35" xfId="0" applyNumberFormat="1" applyFont="1" applyFill="1" applyBorder="1" applyAlignment="1">
      <alignment horizontal="center"/>
    </xf>
    <xf numFmtId="1" fontId="4" fillId="0" borderId="0" xfId="0" applyNumberFormat="1" applyFont="1" applyAlignment="1">
      <alignment horizontal="center"/>
    </xf>
    <xf numFmtId="1" fontId="6" fillId="0" borderId="0" xfId="0" applyNumberFormat="1" applyFont="1" applyAlignment="1">
      <alignment horizontal="center"/>
    </xf>
    <xf numFmtId="1" fontId="53" fillId="2" borderId="1" xfId="0" applyNumberFormat="1" applyFont="1" applyFill="1" applyBorder="1" applyAlignment="1">
      <alignment horizontal="center" vertical="center" wrapText="1"/>
    </xf>
    <xf numFmtId="0" fontId="26" fillId="0" borderId="0" xfId="0" applyFont="1" applyAlignment="1">
      <alignment horizontal="center"/>
    </xf>
    <xf numFmtId="1" fontId="26" fillId="0" borderId="0" xfId="0" applyNumberFormat="1" applyFont="1" applyAlignment="1">
      <alignment horizontal="center"/>
    </xf>
    <xf numFmtId="1" fontId="52" fillId="2" borderId="1" xfId="0" applyNumberFormat="1" applyFont="1" applyFill="1" applyBorder="1" applyAlignment="1">
      <alignment horizontal="center" vertical="center"/>
    </xf>
    <xf numFmtId="1" fontId="53" fillId="2" borderId="1" xfId="0" applyNumberFormat="1" applyFont="1" applyFill="1" applyBorder="1" applyAlignment="1">
      <alignment horizontal="center"/>
    </xf>
    <xf numFmtId="1" fontId="53" fillId="2" borderId="1" xfId="0" applyNumberFormat="1" applyFont="1" applyFill="1" applyBorder="1" applyAlignment="1">
      <alignment horizontal="center" vertical="center"/>
    </xf>
    <xf numFmtId="0" fontId="26" fillId="0" borderId="0" xfId="2" applyFont="1" applyAlignment="1">
      <alignment horizontal="center"/>
    </xf>
    <xf numFmtId="0" fontId="3" fillId="3" borderId="1" xfId="2" applyFill="1" applyBorder="1" applyAlignment="1">
      <alignment horizontal="center"/>
    </xf>
    <xf numFmtId="0" fontId="28" fillId="0" borderId="0" xfId="2" applyFont="1" applyAlignment="1">
      <alignment horizontal="center"/>
    </xf>
    <xf numFmtId="0" fontId="24" fillId="0" borderId="0" xfId="2" applyFont="1" applyAlignment="1">
      <alignment horizontal="center"/>
    </xf>
    <xf numFmtId="0" fontId="25" fillId="0" borderId="0" xfId="2" applyFont="1" applyAlignment="1">
      <alignment horizontal="center"/>
    </xf>
    <xf numFmtId="0" fontId="3" fillId="0" borderId="0" xfId="2" applyAlignment="1">
      <alignment horizontal="center"/>
    </xf>
    <xf numFmtId="0" fontId="26" fillId="9" borderId="0" xfId="2" applyFont="1" applyFill="1" applyAlignment="1" applyProtection="1">
      <alignment horizontal="left"/>
      <protection locked="0"/>
    </xf>
    <xf numFmtId="0" fontId="29" fillId="9" borderId="0" xfId="2" applyFont="1" applyFill="1" applyAlignment="1" applyProtection="1">
      <alignment horizontal="center"/>
      <protection locked="0"/>
    </xf>
    <xf numFmtId="0" fontId="3" fillId="0" borderId="8" xfId="2" applyBorder="1" applyAlignment="1" applyProtection="1">
      <alignment horizontal="left" vertical="center"/>
      <protection locked="0"/>
    </xf>
    <xf numFmtId="0" fontId="3" fillId="0" borderId="43" xfId="2" applyBorder="1" applyAlignment="1" applyProtection="1">
      <alignment horizontal="left" vertical="center"/>
      <protection locked="0"/>
    </xf>
    <xf numFmtId="0" fontId="36" fillId="0" borderId="8" xfId="2" applyFont="1" applyBorder="1" applyAlignment="1">
      <alignment horizontal="center" vertical="center"/>
    </xf>
    <xf numFmtId="0" fontId="36" fillId="0" borderId="4" xfId="2" applyFont="1" applyBorder="1" applyAlignment="1">
      <alignment horizontal="center" vertical="center"/>
    </xf>
    <xf numFmtId="0" fontId="3" fillId="0" borderId="7" xfId="2" applyBorder="1" applyAlignment="1" applyProtection="1">
      <alignment horizontal="left" vertical="center" wrapText="1"/>
      <protection locked="0"/>
    </xf>
    <xf numFmtId="0" fontId="3" fillId="0" borderId="8" xfId="2" applyBorder="1" applyAlignment="1" applyProtection="1">
      <alignment horizontal="left" vertical="center" wrapText="1"/>
      <protection locked="0"/>
    </xf>
    <xf numFmtId="0" fontId="32" fillId="0" borderId="7"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27" fillId="0" borderId="2" xfId="2" applyFont="1" applyBorder="1" applyAlignment="1">
      <alignment horizontal="center" vertical="center"/>
    </xf>
    <xf numFmtId="0" fontId="27" fillId="0" borderId="3" xfId="2" applyFont="1" applyBorder="1" applyAlignment="1">
      <alignment horizontal="center" vertical="center"/>
    </xf>
    <xf numFmtId="0" fontId="7" fillId="0" borderId="7" xfId="2" applyFont="1" applyBorder="1" applyAlignment="1">
      <alignment horizontal="left" vertical="center"/>
    </xf>
    <xf numFmtId="0" fontId="7" fillId="0" borderId="8" xfId="2" applyFont="1" applyBorder="1" applyAlignment="1">
      <alignment horizontal="left" vertical="center"/>
    </xf>
    <xf numFmtId="0" fontId="36" fillId="0" borderId="42" xfId="2" applyFont="1" applyBorder="1" applyAlignment="1">
      <alignment horizontal="center" vertical="center"/>
    </xf>
    <xf numFmtId="0" fontId="36" fillId="0" borderId="43" xfId="2" applyFont="1" applyBorder="1" applyAlignment="1">
      <alignment horizontal="center" vertical="center"/>
    </xf>
    <xf numFmtId="0" fontId="36" fillId="0" borderId="44" xfId="2" applyFont="1" applyBorder="1" applyAlignment="1">
      <alignment horizontal="center" vertical="center"/>
    </xf>
    <xf numFmtId="0" fontId="36" fillId="0" borderId="40" xfId="2" applyFont="1" applyBorder="1" applyAlignment="1">
      <alignment horizontal="center" vertical="center"/>
    </xf>
    <xf numFmtId="0" fontId="36" fillId="0" borderId="41" xfId="2" applyFont="1" applyBorder="1" applyAlignment="1">
      <alignment horizontal="center" vertical="center"/>
    </xf>
    <xf numFmtId="0" fontId="36" fillId="0" borderId="45" xfId="2" applyFont="1" applyBorder="1" applyAlignment="1">
      <alignment horizontal="center" vertical="center"/>
    </xf>
    <xf numFmtId="0" fontId="7" fillId="0" borderId="0" xfId="2" applyFont="1" applyAlignment="1">
      <alignment horizontal="center"/>
    </xf>
    <xf numFmtId="0" fontId="29" fillId="0" borderId="0" xfId="2" applyFont="1" applyAlignment="1">
      <alignment horizontal="center"/>
    </xf>
    <xf numFmtId="0" fontId="27" fillId="0" borderId="0" xfId="2" applyFont="1" applyAlignment="1">
      <alignment horizontal="center"/>
    </xf>
    <xf numFmtId="0" fontId="27" fillId="0" borderId="0" xfId="2" applyFont="1" applyAlignment="1" applyProtection="1">
      <alignment horizontal="center"/>
      <protection locked="0"/>
    </xf>
    <xf numFmtId="0" fontId="16" fillId="0" borderId="14" xfId="3" applyFont="1" applyBorder="1" applyAlignment="1" applyProtection="1">
      <alignment horizontal="center"/>
      <protection locked="0"/>
    </xf>
    <xf numFmtId="0" fontId="17" fillId="0" borderId="0" xfId="3" applyFont="1" applyAlignment="1" applyProtection="1">
      <alignment horizontal="center"/>
      <protection locked="0"/>
    </xf>
    <xf numFmtId="0" fontId="45" fillId="0" borderId="0" xfId="3" applyFont="1" applyAlignment="1" applyProtection="1">
      <alignment horizontal="center"/>
      <protection locked="0"/>
    </xf>
    <xf numFmtId="0" fontId="50" fillId="0" borderId="0" xfId="3" applyFont="1" applyAlignment="1" applyProtection="1">
      <alignment horizontal="center"/>
      <protection locked="0"/>
    </xf>
    <xf numFmtId="0" fontId="45" fillId="0" borderId="0" xfId="3" applyFont="1" applyAlignment="1">
      <alignment horizontal="center"/>
    </xf>
    <xf numFmtId="0" fontId="17" fillId="0" borderId="0" xfId="3" applyFont="1" applyAlignment="1" applyProtection="1">
      <alignment horizontal="center" vertical="center"/>
      <protection locked="0"/>
    </xf>
    <xf numFmtId="0" fontId="45" fillId="0" borderId="0" xfId="3" applyFont="1" applyAlignment="1">
      <alignment horizontal="center" vertical="center"/>
    </xf>
    <xf numFmtId="0" fontId="6" fillId="0" borderId="55" xfId="3" applyFont="1" applyBorder="1" applyAlignment="1">
      <alignment horizontal="center" vertical="center"/>
    </xf>
    <xf numFmtId="0" fontId="6" fillId="0" borderId="1" xfId="3" applyFont="1" applyBorder="1" applyAlignment="1">
      <alignment horizontal="center" vertical="center"/>
    </xf>
    <xf numFmtId="0" fontId="15" fillId="0" borderId="0" xfId="3" applyFont="1" applyAlignment="1" applyProtection="1">
      <alignment horizontal="left"/>
      <protection locked="0"/>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44" xfId="3" applyFont="1" applyBorder="1" applyAlignment="1">
      <alignment horizontal="center" vertical="center"/>
    </xf>
    <xf numFmtId="0" fontId="6" fillId="0" borderId="40" xfId="3" applyFont="1" applyBorder="1" applyAlignment="1">
      <alignment horizontal="center" vertical="center"/>
    </xf>
    <xf numFmtId="0" fontId="6" fillId="0" borderId="41" xfId="3" applyFont="1" applyBorder="1" applyAlignment="1">
      <alignment horizontal="center" vertical="center"/>
    </xf>
    <xf numFmtId="0" fontId="6" fillId="0" borderId="45" xfId="3" applyFont="1" applyBorder="1" applyAlignment="1">
      <alignment horizontal="center" vertical="center"/>
    </xf>
    <xf numFmtId="0" fontId="48" fillId="0" borderId="8" xfId="3" applyFont="1" applyBorder="1" applyAlignment="1" applyProtection="1">
      <alignment horizontal="left" vertical="center"/>
      <protection locked="0"/>
    </xf>
    <xf numFmtId="0" fontId="15" fillId="0" borderId="8" xfId="3" applyFont="1" applyBorder="1" applyAlignment="1" applyProtection="1">
      <alignment horizontal="left" vertical="center" wrapText="1"/>
      <protection locked="0"/>
    </xf>
    <xf numFmtId="0" fontId="15" fillId="0" borderId="4" xfId="3" applyFont="1" applyBorder="1" applyAlignment="1" applyProtection="1">
      <alignment horizontal="left" vertical="center" wrapText="1"/>
      <protection locked="0"/>
    </xf>
  </cellXfs>
  <cellStyles count="5">
    <cellStyle name="Hyperlink" xfId="1" builtinId="8"/>
    <cellStyle name="Normal" xfId="0" builtinId="0"/>
    <cellStyle name="Normal 2" xfId="2"/>
    <cellStyle name="Normal 2 2" xfId="3"/>
    <cellStyle name="Normal 3" xfId="4"/>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347265</xdr:colOff>
      <xdr:row>1</xdr:row>
      <xdr:rowOff>119062</xdr:rowOff>
    </xdr:from>
    <xdr:to>
      <xdr:col>2</xdr:col>
      <xdr:colOff>198557</xdr:colOff>
      <xdr:row>2</xdr:row>
      <xdr:rowOff>315151</xdr:rowOff>
    </xdr:to>
    <xdr:pic>
      <xdr:nvPicPr>
        <xdr:cNvPr id="4" name="Picture 3" descr="Hasil gambar untuk logo pemerintah kabupaten kulon progo"/>
        <xdr:cNvPicPr>
          <a:picLocks noChangeAspect="1" noChangeArrowheads="1"/>
        </xdr:cNvPicPr>
      </xdr:nvPicPr>
      <xdr:blipFill>
        <a:blip xmlns:r="http://schemas.openxmlformats.org/officeDocument/2006/relationships" r:embed="rId1" cstate="print"/>
        <a:srcRect/>
        <a:stretch>
          <a:fillRect/>
        </a:stretch>
      </xdr:blipFill>
      <xdr:spPr bwMode="auto">
        <a:xfrm>
          <a:off x="565546" y="317500"/>
          <a:ext cx="456527" cy="56319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1557733</xdr:colOff>
      <xdr:row>29</xdr:row>
      <xdr:rowOff>188516</xdr:rowOff>
    </xdr:from>
    <xdr:to>
      <xdr:col>3</xdr:col>
      <xdr:colOff>593827</xdr:colOff>
      <xdr:row>36</xdr:row>
      <xdr:rowOff>90625</xdr:rowOff>
    </xdr:to>
    <xdr:sp macro="" textlink="">
      <xdr:nvSpPr>
        <xdr:cNvPr id="2" name="Rectangle 1"/>
        <xdr:cNvSpPr/>
      </xdr:nvSpPr>
      <xdr:spPr>
        <a:xfrm>
          <a:off x="1895077" y="6697266"/>
          <a:ext cx="1080000" cy="1440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235420</xdr:colOff>
      <xdr:row>0</xdr:row>
      <xdr:rowOff>51954</xdr:rowOff>
    </xdr:from>
    <xdr:to>
      <xdr:col>2</xdr:col>
      <xdr:colOff>398317</xdr:colOff>
      <xdr:row>4</xdr:row>
      <xdr:rowOff>43295</xdr:rowOff>
    </xdr:to>
    <xdr:pic>
      <xdr:nvPicPr>
        <xdr:cNvPr id="2" name="Picture 1" descr="Berkas:Kulonprogo Seal.sv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420" y="51954"/>
          <a:ext cx="838306" cy="1013114"/>
        </a:xfrm>
        <a:prstGeom prst="rect">
          <a:avLst/>
        </a:prstGeom>
        <a:noFill/>
        <a:ln>
          <a:noFill/>
        </a:ln>
      </xdr:spPr>
    </xdr:pic>
    <xdr:clientData/>
  </xdr:twoCellAnchor>
  <xdr:twoCellAnchor editAs="oneCell">
    <xdr:from>
      <xdr:col>2</xdr:col>
      <xdr:colOff>787978</xdr:colOff>
      <xdr:row>3</xdr:row>
      <xdr:rowOff>25977</xdr:rowOff>
    </xdr:from>
    <xdr:to>
      <xdr:col>6</xdr:col>
      <xdr:colOff>129887</xdr:colOff>
      <xdr:row>4</xdr:row>
      <xdr:rowOff>77932</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3387" y="736022"/>
          <a:ext cx="3108614" cy="36368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9"/>
  <sheetViews>
    <sheetView showGridLines="0" showRowColHeaders="0" view="pageBreakPreview" zoomScale="148" zoomScaleNormal="96" zoomScaleSheetLayoutView="148" workbookViewId="0">
      <selection activeCell="G10" sqref="G10:H10"/>
    </sheetView>
  </sheetViews>
  <sheetFormatPr defaultColWidth="0" defaultRowHeight="15" zeroHeight="1" x14ac:dyDescent="0.25"/>
  <cols>
    <col min="1" max="1" width="3.28515625" customWidth="1"/>
    <col min="2" max="4" width="9.140625" customWidth="1"/>
    <col min="5" max="5" width="11.5703125" customWidth="1"/>
    <col min="6" max="7" width="9.140625" customWidth="1"/>
    <col min="8" max="8" width="10.7109375" customWidth="1"/>
    <col min="9" max="9" width="12.5703125" bestFit="1" customWidth="1"/>
    <col min="10" max="11" width="9.140625" customWidth="1"/>
    <col min="12" max="12" width="3.28515625" customWidth="1"/>
    <col min="13" max="13" width="2.7109375" customWidth="1"/>
    <col min="14" max="18" width="9.140625" customWidth="1"/>
    <col min="19" max="21" width="9.140625" hidden="1" customWidth="1"/>
    <col min="22" max="16384" width="9.140625" hidden="1"/>
  </cols>
  <sheetData>
    <row r="1" spans="1:12" ht="15.75" thickBot="1" x14ac:dyDescent="0.3">
      <c r="A1" s="15"/>
      <c r="B1" s="16"/>
      <c r="C1" s="16"/>
      <c r="D1" s="16"/>
      <c r="E1" s="16"/>
      <c r="F1" s="16"/>
      <c r="G1" s="16"/>
      <c r="H1" s="16"/>
      <c r="I1" s="16"/>
      <c r="J1" s="16"/>
      <c r="K1" s="16"/>
      <c r="L1" s="17"/>
    </row>
    <row r="2" spans="1:12" ht="29.25" thickTop="1" x14ac:dyDescent="0.45">
      <c r="A2" s="18"/>
      <c r="B2" s="11"/>
      <c r="C2" s="12"/>
      <c r="D2" s="131" t="s">
        <v>74</v>
      </c>
      <c r="E2" s="4"/>
      <c r="F2" s="4"/>
      <c r="G2" s="4"/>
      <c r="H2" s="4"/>
      <c r="I2" s="4"/>
      <c r="J2" s="4"/>
      <c r="K2" s="5"/>
      <c r="L2" s="19"/>
    </row>
    <row r="3" spans="1:12" ht="27" thickBot="1" x14ac:dyDescent="0.45">
      <c r="A3" s="18"/>
      <c r="B3" s="13"/>
      <c r="C3" s="14"/>
      <c r="D3" s="246" t="str">
        <f>"SD TAHUN PELAJARAN "&amp;'DATA SISWA &amp; SEK'!E60</f>
        <v>SD TAHUN PELAJARAN 2021/2022</v>
      </c>
      <c r="E3" s="246"/>
      <c r="F3" s="246"/>
      <c r="G3" s="246"/>
      <c r="H3" s="246"/>
      <c r="I3" s="246"/>
      <c r="J3" s="246"/>
      <c r="K3" s="247"/>
      <c r="L3" s="19"/>
    </row>
    <row r="4" spans="1:12" ht="20.25" thickTop="1" thickBot="1" x14ac:dyDescent="0.35">
      <c r="A4" s="18"/>
      <c r="B4" s="6"/>
      <c r="C4" s="2"/>
      <c r="D4" s="249" t="str">
        <f>'DATA SISWA &amp; SEK'!E59</f>
        <v>SEKOLAH  DASAR NEGERI SERANG</v>
      </c>
      <c r="E4" s="249"/>
      <c r="F4" s="249"/>
      <c r="G4" s="249"/>
      <c r="H4" s="249"/>
      <c r="I4" s="249"/>
      <c r="J4" s="249"/>
      <c r="K4" s="7"/>
      <c r="L4" s="19"/>
    </row>
    <row r="5" spans="1:12" ht="19.5" thickTop="1" x14ac:dyDescent="0.3">
      <c r="A5" s="18"/>
      <c r="B5" s="6"/>
      <c r="C5" s="2"/>
      <c r="D5" s="243" t="str">
        <f>"Alamat: "&amp;'DATA SISWA &amp; SEK'!E61</f>
        <v>Alamat: Serang,Sendangsari,Pengasih,Kulon Progo</v>
      </c>
      <c r="E5" s="243"/>
      <c r="F5" s="243"/>
      <c r="G5" s="243"/>
      <c r="H5" s="243"/>
      <c r="I5" s="243"/>
      <c r="J5" s="243"/>
      <c r="K5" s="7"/>
      <c r="L5" s="19"/>
    </row>
    <row r="6" spans="1:12" x14ac:dyDescent="0.25">
      <c r="A6" s="18"/>
      <c r="B6" s="6"/>
      <c r="C6" s="2"/>
      <c r="D6" s="2"/>
      <c r="E6" s="2"/>
      <c r="F6" s="2"/>
      <c r="G6" s="2"/>
      <c r="H6" s="2"/>
      <c r="I6" s="2"/>
      <c r="J6" s="2"/>
      <c r="K6" s="7"/>
      <c r="L6" s="19"/>
    </row>
    <row r="7" spans="1:12" ht="26.25" x14ac:dyDescent="0.4">
      <c r="A7" s="18"/>
      <c r="B7" s="6"/>
      <c r="C7" s="2"/>
      <c r="D7" s="248" t="s">
        <v>19</v>
      </c>
      <c r="E7" s="248"/>
      <c r="F7" s="2"/>
      <c r="G7" s="2"/>
      <c r="H7" s="2"/>
      <c r="I7" s="2"/>
      <c r="J7" s="242" t="s">
        <v>67</v>
      </c>
      <c r="K7" s="242"/>
      <c r="L7" s="19"/>
    </row>
    <row r="8" spans="1:12" x14ac:dyDescent="0.25">
      <c r="A8" s="18"/>
      <c r="B8" s="6"/>
      <c r="C8" s="2"/>
      <c r="D8" s="2"/>
      <c r="E8" s="2"/>
      <c r="F8" s="2"/>
      <c r="G8" s="2"/>
      <c r="H8" s="2"/>
      <c r="I8" s="2"/>
      <c r="J8" s="2"/>
      <c r="K8" s="7"/>
      <c r="L8" s="19"/>
    </row>
    <row r="9" spans="1:12" x14ac:dyDescent="0.25">
      <c r="A9" s="18"/>
      <c r="B9" s="6"/>
      <c r="C9" s="2"/>
      <c r="D9" s="244" t="s">
        <v>68</v>
      </c>
      <c r="E9" s="245"/>
      <c r="F9" s="2"/>
      <c r="G9" s="240" t="s">
        <v>54</v>
      </c>
      <c r="H9" s="241"/>
      <c r="I9" s="2"/>
      <c r="J9" s="2"/>
      <c r="K9" s="7"/>
      <c r="L9" s="19"/>
    </row>
    <row r="10" spans="1:12" ht="19.5" customHeight="1" x14ac:dyDescent="0.25">
      <c r="A10" s="18"/>
      <c r="B10" s="6"/>
      <c r="C10" s="2"/>
      <c r="D10" s="240" t="s">
        <v>134</v>
      </c>
      <c r="E10" s="241"/>
      <c r="F10" s="3"/>
      <c r="G10" s="240" t="s">
        <v>55</v>
      </c>
      <c r="H10" s="241"/>
      <c r="I10" s="2"/>
      <c r="J10" s="2"/>
      <c r="K10" s="7"/>
      <c r="L10" s="19"/>
    </row>
    <row r="11" spans="1:12" ht="19.5" customHeight="1" x14ac:dyDescent="0.25">
      <c r="A11" s="18"/>
      <c r="B11" s="6"/>
      <c r="C11" s="2"/>
      <c r="D11" s="244" t="s">
        <v>58</v>
      </c>
      <c r="E11" s="245"/>
      <c r="F11" s="3"/>
      <c r="G11" s="2"/>
      <c r="H11" s="2"/>
      <c r="I11" s="2"/>
      <c r="J11" s="2"/>
      <c r="K11" s="7"/>
      <c r="L11" s="19"/>
    </row>
    <row r="12" spans="1:12" ht="19.5" customHeight="1" x14ac:dyDescent="0.25">
      <c r="A12" s="18"/>
      <c r="B12" s="6"/>
      <c r="C12" s="2"/>
      <c r="D12" s="2"/>
      <c r="E12" s="2"/>
      <c r="F12" s="3"/>
      <c r="G12" s="240" t="s">
        <v>136</v>
      </c>
      <c r="H12" s="241"/>
      <c r="I12" s="2"/>
      <c r="J12" s="2"/>
      <c r="K12" s="7"/>
      <c r="L12" s="19"/>
    </row>
    <row r="13" spans="1:12" ht="19.5" customHeight="1" x14ac:dyDescent="0.25">
      <c r="A13" s="18"/>
      <c r="B13" s="6"/>
      <c r="C13" s="2"/>
      <c r="D13" s="2"/>
      <c r="E13" s="2"/>
      <c r="F13" s="3"/>
      <c r="G13" s="2"/>
      <c r="H13" s="2"/>
      <c r="I13" s="2"/>
      <c r="J13" s="2"/>
      <c r="K13" s="7"/>
      <c r="L13" s="19"/>
    </row>
    <row r="14" spans="1:12" x14ac:dyDescent="0.25">
      <c r="A14" s="18"/>
      <c r="B14" s="6"/>
      <c r="C14" s="2"/>
      <c r="D14" s="2"/>
      <c r="E14" s="2"/>
      <c r="F14" s="2"/>
      <c r="G14" s="2"/>
      <c r="H14" s="2"/>
      <c r="I14" s="2"/>
      <c r="J14" s="2"/>
      <c r="K14" s="7"/>
      <c r="L14" s="19"/>
    </row>
    <row r="15" spans="1:12" x14ac:dyDescent="0.25">
      <c r="A15" s="18"/>
      <c r="B15" s="6"/>
      <c r="C15" s="2"/>
      <c r="D15" s="2"/>
      <c r="E15" s="2"/>
      <c r="F15" s="2"/>
      <c r="G15" s="2"/>
      <c r="H15" s="2"/>
      <c r="I15" s="2"/>
      <c r="J15" s="2"/>
      <c r="K15" s="7"/>
      <c r="L15" s="19"/>
    </row>
    <row r="16" spans="1:12" x14ac:dyDescent="0.25">
      <c r="A16" s="18"/>
      <c r="B16" s="6"/>
      <c r="C16" s="2"/>
      <c r="D16" s="2"/>
      <c r="E16" s="2"/>
      <c r="F16" s="2"/>
      <c r="G16" s="2"/>
      <c r="H16" s="2" t="s">
        <v>135</v>
      </c>
      <c r="I16" s="2"/>
      <c r="J16" s="2"/>
      <c r="K16" s="7"/>
      <c r="L16" s="19"/>
    </row>
    <row r="17" spans="1:12" x14ac:dyDescent="0.25">
      <c r="A17" s="18"/>
      <c r="B17" s="6"/>
      <c r="C17" s="2"/>
      <c r="D17" s="2"/>
      <c r="E17" s="2"/>
      <c r="F17" s="2"/>
      <c r="G17" s="2"/>
      <c r="H17" s="2"/>
      <c r="I17" s="114">
        <v>44704</v>
      </c>
      <c r="J17" s="2"/>
      <c r="K17" s="7"/>
      <c r="L17" s="19"/>
    </row>
    <row r="18" spans="1:12" ht="15.75" thickBot="1" x14ac:dyDescent="0.3">
      <c r="A18" s="18"/>
      <c r="B18" s="8"/>
      <c r="C18" s="9"/>
      <c r="D18" s="9"/>
      <c r="E18" s="9"/>
      <c r="F18" s="9"/>
      <c r="G18" s="9"/>
      <c r="H18" s="9"/>
      <c r="I18" s="111" t="s">
        <v>137</v>
      </c>
      <c r="J18" s="9"/>
      <c r="K18" s="10"/>
      <c r="L18" s="19"/>
    </row>
    <row r="19" spans="1:12" ht="16.5" thickTop="1" thickBot="1" x14ac:dyDescent="0.3">
      <c r="A19" s="20"/>
      <c r="B19" s="21"/>
      <c r="C19" s="21"/>
      <c r="D19" s="21"/>
      <c r="E19" s="21"/>
      <c r="F19" s="21"/>
      <c r="G19" s="21"/>
      <c r="H19" s="21"/>
      <c r="I19" s="21"/>
      <c r="J19" s="21"/>
      <c r="K19" s="21"/>
      <c r="L19" s="22"/>
    </row>
  </sheetData>
  <sheetProtection sheet="1" objects="1" scenarios="1"/>
  <mergeCells count="11">
    <mergeCell ref="D3:K3"/>
    <mergeCell ref="D7:E7"/>
    <mergeCell ref="D11:E11"/>
    <mergeCell ref="G9:H9"/>
    <mergeCell ref="D4:J4"/>
    <mergeCell ref="G12:H12"/>
    <mergeCell ref="J7:K7"/>
    <mergeCell ref="D5:J5"/>
    <mergeCell ref="G10:H10"/>
    <mergeCell ref="D9:E9"/>
    <mergeCell ref="D10:E10"/>
  </mergeCells>
  <hyperlinks>
    <hyperlink ref="D11" location="LEGER!A1" display="PENGOLAHAN NILAI"/>
    <hyperlink ref="D9:E9" location="'DATA SISWA &amp; SEK'!A1" display="DATA SISWA &amp; SEK"/>
    <hyperlink ref="G9:H9" location="'IJASAH DPN'!A1" display="IJASAH DEPAN"/>
    <hyperlink ref="G10:H10" location="'IJASAH BELK'!A1" display="IJASAH BELK"/>
    <hyperlink ref="D10" location="LEGER!A1" display="PENGOLAHAN NILAI"/>
    <hyperlink ref="D10:E10" location="KKM!A1" display="KKM"/>
    <hyperlink ref="G12:H12" location="'SURAT KET LULUS'!A1" display="SURAT KET LULUS"/>
  </hyperlinks>
  <pageMargins left="0.70866141732283472" right="0.70866141732283472" top="0.74803149606299213" bottom="0.74803149606299213" header="0.31496062992125984" footer="0.31496062992125984"/>
  <pageSetup paperSize="5"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9"/>
  <sheetViews>
    <sheetView topLeftCell="A5" zoomScale="120" zoomScaleNormal="120" workbookViewId="0">
      <selection activeCell="F26" sqref="F26"/>
    </sheetView>
  </sheetViews>
  <sheetFormatPr defaultRowHeight="15" x14ac:dyDescent="0.25"/>
  <cols>
    <col min="1" max="1" width="3.42578125" style="33" customWidth="1"/>
    <col min="2" max="2" width="10.85546875" style="33" customWidth="1"/>
    <col min="3" max="3" width="22.28515625" style="33" hidden="1" customWidth="1"/>
    <col min="4" max="4" width="13.5703125" style="33" customWidth="1"/>
    <col min="5" max="5" width="31.28515625" style="33" customWidth="1"/>
    <col min="6" max="6" width="49.28515625" style="33" customWidth="1"/>
    <col min="7" max="7" width="12.5703125" style="99" customWidth="1"/>
    <col min="8" max="8" width="18.140625" style="33" customWidth="1"/>
    <col min="9" max="9" width="18" style="33" customWidth="1"/>
    <col min="10" max="16384" width="9.140625" style="33"/>
  </cols>
  <sheetData>
    <row r="1" spans="1:9" ht="15.75" x14ac:dyDescent="0.25">
      <c r="A1" s="115" t="s">
        <v>72</v>
      </c>
      <c r="I1" s="191" t="s">
        <v>108</v>
      </c>
    </row>
    <row r="2" spans="1:9" ht="15.75" customHeight="1" x14ac:dyDescent="0.25">
      <c r="A2" s="250" t="s">
        <v>24</v>
      </c>
      <c r="B2" s="250"/>
      <c r="C2" s="250"/>
      <c r="D2" s="36"/>
      <c r="E2" s="251" t="s">
        <v>10</v>
      </c>
      <c r="F2" s="37" t="s">
        <v>23</v>
      </c>
      <c r="G2" s="252" t="s">
        <v>65</v>
      </c>
      <c r="H2" s="37"/>
      <c r="I2" s="34" t="s">
        <v>20</v>
      </c>
    </row>
    <row r="3" spans="1:9" ht="15.75" x14ac:dyDescent="0.25">
      <c r="A3" s="36" t="s">
        <v>25</v>
      </c>
      <c r="B3" s="36" t="s">
        <v>26</v>
      </c>
      <c r="C3" s="36"/>
      <c r="D3" s="36" t="s">
        <v>22</v>
      </c>
      <c r="E3" s="251"/>
      <c r="F3" s="37"/>
      <c r="G3" s="253"/>
      <c r="H3" s="36" t="s">
        <v>32</v>
      </c>
    </row>
    <row r="4" spans="1:9" x14ac:dyDescent="0.25">
      <c r="A4" s="40">
        <v>1</v>
      </c>
      <c r="B4" s="211">
        <v>1250</v>
      </c>
      <c r="C4" s="212" t="s">
        <v>138</v>
      </c>
      <c r="D4" s="234" t="s">
        <v>235</v>
      </c>
      <c r="E4" s="213" t="s">
        <v>171</v>
      </c>
      <c r="F4" s="236" t="s">
        <v>190</v>
      </c>
      <c r="G4" s="213" t="s">
        <v>207</v>
      </c>
      <c r="H4" s="213" t="s">
        <v>227</v>
      </c>
      <c r="I4" s="35"/>
    </row>
    <row r="5" spans="1:9" x14ac:dyDescent="0.25">
      <c r="A5" s="40">
        <v>2</v>
      </c>
      <c r="B5" s="211">
        <v>1251</v>
      </c>
      <c r="C5" s="212" t="s">
        <v>139</v>
      </c>
      <c r="D5" s="234" t="s">
        <v>236</v>
      </c>
      <c r="E5" s="213" t="s">
        <v>172</v>
      </c>
      <c r="F5" s="236" t="s">
        <v>191</v>
      </c>
      <c r="G5" s="213" t="s">
        <v>208</v>
      </c>
      <c r="H5" s="213" t="s">
        <v>226</v>
      </c>
      <c r="I5" s="35"/>
    </row>
    <row r="6" spans="1:9" x14ac:dyDescent="0.25">
      <c r="A6" s="40">
        <v>3</v>
      </c>
      <c r="B6" s="211">
        <v>1252</v>
      </c>
      <c r="C6" s="212" t="s">
        <v>140</v>
      </c>
      <c r="D6" s="234" t="s">
        <v>237</v>
      </c>
      <c r="E6" s="213" t="s">
        <v>173</v>
      </c>
      <c r="F6" s="237" t="s">
        <v>192</v>
      </c>
      <c r="G6" s="213" t="s">
        <v>208</v>
      </c>
      <c r="H6" s="213" t="s">
        <v>225</v>
      </c>
      <c r="I6" s="35"/>
    </row>
    <row r="7" spans="1:9" x14ac:dyDescent="0.25">
      <c r="A7" s="40">
        <v>4</v>
      </c>
      <c r="B7" s="211">
        <v>1253</v>
      </c>
      <c r="C7" s="212" t="s">
        <v>141</v>
      </c>
      <c r="D7" s="234" t="s">
        <v>238</v>
      </c>
      <c r="E7" s="213" t="s">
        <v>174</v>
      </c>
      <c r="F7" s="236" t="s">
        <v>193</v>
      </c>
      <c r="G7" s="213" t="s">
        <v>208</v>
      </c>
      <c r="H7" s="213" t="s">
        <v>224</v>
      </c>
      <c r="I7" s="35"/>
    </row>
    <row r="8" spans="1:9" x14ac:dyDescent="0.25">
      <c r="A8" s="40">
        <v>5</v>
      </c>
      <c r="B8" s="211">
        <v>1254</v>
      </c>
      <c r="C8" s="212" t="s">
        <v>142</v>
      </c>
      <c r="D8" s="234" t="s">
        <v>239</v>
      </c>
      <c r="E8" s="213" t="s">
        <v>175</v>
      </c>
      <c r="F8" s="236" t="s">
        <v>257</v>
      </c>
      <c r="G8" s="213" t="s">
        <v>208</v>
      </c>
      <c r="H8" s="213" t="s">
        <v>223</v>
      </c>
      <c r="I8" s="35"/>
    </row>
    <row r="9" spans="1:9" x14ac:dyDescent="0.25">
      <c r="A9" s="40">
        <v>6</v>
      </c>
      <c r="B9" s="211">
        <v>1255</v>
      </c>
      <c r="C9" s="212" t="s">
        <v>143</v>
      </c>
      <c r="D9" s="234" t="s">
        <v>240</v>
      </c>
      <c r="E9" s="213" t="s">
        <v>176</v>
      </c>
      <c r="F9" s="237" t="s">
        <v>194</v>
      </c>
      <c r="G9" s="213" t="s">
        <v>208</v>
      </c>
      <c r="H9" s="213" t="s">
        <v>222</v>
      </c>
      <c r="I9" s="35"/>
    </row>
    <row r="10" spans="1:9" x14ac:dyDescent="0.25">
      <c r="A10" s="40">
        <v>7</v>
      </c>
      <c r="B10" s="211">
        <v>1256</v>
      </c>
      <c r="C10" s="212" t="s">
        <v>144</v>
      </c>
      <c r="D10" s="234" t="s">
        <v>241</v>
      </c>
      <c r="E10" s="213" t="s">
        <v>177</v>
      </c>
      <c r="F10" s="236" t="s">
        <v>195</v>
      </c>
      <c r="G10" s="213" t="s">
        <v>207</v>
      </c>
      <c r="H10" s="213" t="s">
        <v>221</v>
      </c>
      <c r="I10" s="35"/>
    </row>
    <row r="11" spans="1:9" x14ac:dyDescent="0.25">
      <c r="A11" s="40">
        <v>8</v>
      </c>
      <c r="B11" s="211">
        <v>1257</v>
      </c>
      <c r="C11" s="212" t="s">
        <v>145</v>
      </c>
      <c r="D11" s="234" t="s">
        <v>258</v>
      </c>
      <c r="E11" s="213" t="s">
        <v>178</v>
      </c>
      <c r="F11" s="236" t="s">
        <v>196</v>
      </c>
      <c r="G11" s="213" t="s">
        <v>208</v>
      </c>
      <c r="H11" s="213" t="s">
        <v>220</v>
      </c>
      <c r="I11" s="35"/>
    </row>
    <row r="12" spans="1:9" x14ac:dyDescent="0.25">
      <c r="A12" s="40">
        <v>9</v>
      </c>
      <c r="B12" s="211">
        <v>1258</v>
      </c>
      <c r="C12" s="212" t="s">
        <v>146</v>
      </c>
      <c r="D12" s="234" t="s">
        <v>242</v>
      </c>
      <c r="E12" s="213" t="s">
        <v>179</v>
      </c>
      <c r="F12" s="236" t="s">
        <v>197</v>
      </c>
      <c r="G12" s="213" t="s">
        <v>208</v>
      </c>
      <c r="H12" s="213" t="s">
        <v>219</v>
      </c>
      <c r="I12" s="35"/>
    </row>
    <row r="13" spans="1:9" x14ac:dyDescent="0.25">
      <c r="A13" s="40">
        <v>10</v>
      </c>
      <c r="B13" s="211">
        <v>1259</v>
      </c>
      <c r="C13" s="212" t="s">
        <v>147</v>
      </c>
      <c r="D13" s="234" t="s">
        <v>243</v>
      </c>
      <c r="E13" s="213" t="s">
        <v>180</v>
      </c>
      <c r="F13" s="236" t="s">
        <v>198</v>
      </c>
      <c r="G13" s="213" t="s">
        <v>207</v>
      </c>
      <c r="H13" s="213" t="s">
        <v>218</v>
      </c>
      <c r="I13" s="35"/>
    </row>
    <row r="14" spans="1:9" x14ac:dyDescent="0.25">
      <c r="A14" s="40">
        <v>11</v>
      </c>
      <c r="B14" s="211">
        <v>1271</v>
      </c>
      <c r="C14" s="212" t="s">
        <v>148</v>
      </c>
      <c r="D14" s="234" t="s">
        <v>244</v>
      </c>
      <c r="E14" s="213" t="s">
        <v>181</v>
      </c>
      <c r="F14" s="236" t="s">
        <v>199</v>
      </c>
      <c r="G14" s="213" t="s">
        <v>208</v>
      </c>
      <c r="H14" s="213" t="s">
        <v>217</v>
      </c>
    </row>
    <row r="15" spans="1:9" x14ac:dyDescent="0.25">
      <c r="A15" s="40">
        <v>12</v>
      </c>
      <c r="B15" s="41">
        <v>1304</v>
      </c>
      <c r="C15" s="42"/>
      <c r="D15" s="234" t="s">
        <v>245</v>
      </c>
      <c r="E15" s="213" t="s">
        <v>182</v>
      </c>
      <c r="F15" s="236" t="s">
        <v>200</v>
      </c>
      <c r="G15" s="213" t="s">
        <v>207</v>
      </c>
      <c r="H15" s="213" t="s">
        <v>216</v>
      </c>
    </row>
    <row r="16" spans="1:9" x14ac:dyDescent="0.25">
      <c r="A16" s="40">
        <v>13</v>
      </c>
      <c r="B16" s="41">
        <v>1260</v>
      </c>
      <c r="C16" s="42"/>
      <c r="D16" s="234" t="s">
        <v>246</v>
      </c>
      <c r="E16" s="213" t="s">
        <v>183</v>
      </c>
      <c r="F16" s="236" t="s">
        <v>197</v>
      </c>
      <c r="G16" s="213" t="s">
        <v>208</v>
      </c>
      <c r="H16" s="239" t="s">
        <v>215</v>
      </c>
    </row>
    <row r="17" spans="1:8" x14ac:dyDescent="0.25">
      <c r="A17" s="40">
        <v>14</v>
      </c>
      <c r="B17" s="41">
        <v>1261</v>
      </c>
      <c r="C17" s="42"/>
      <c r="D17" s="234" t="s">
        <v>247</v>
      </c>
      <c r="E17" s="213" t="s">
        <v>184</v>
      </c>
      <c r="F17" s="236" t="s">
        <v>201</v>
      </c>
      <c r="G17" s="213" t="s">
        <v>208</v>
      </c>
      <c r="H17" s="213" t="s">
        <v>214</v>
      </c>
    </row>
    <row r="18" spans="1:8" x14ac:dyDescent="0.25">
      <c r="A18" s="40">
        <v>15</v>
      </c>
      <c r="B18" s="41">
        <v>1262</v>
      </c>
      <c r="C18" s="42"/>
      <c r="D18" s="234" t="s">
        <v>248</v>
      </c>
      <c r="E18" s="213" t="s">
        <v>259</v>
      </c>
      <c r="F18" s="236" t="s">
        <v>202</v>
      </c>
      <c r="G18" s="213" t="s">
        <v>207</v>
      </c>
      <c r="H18" s="213" t="s">
        <v>213</v>
      </c>
    </row>
    <row r="19" spans="1:8" x14ac:dyDescent="0.25">
      <c r="A19" s="40">
        <v>16</v>
      </c>
      <c r="B19" s="41">
        <v>1263</v>
      </c>
      <c r="C19" s="42"/>
      <c r="D19" s="234" t="s">
        <v>249</v>
      </c>
      <c r="E19" s="213" t="s">
        <v>185</v>
      </c>
      <c r="F19" s="236" t="s">
        <v>203</v>
      </c>
      <c r="G19" s="213" t="s">
        <v>208</v>
      </c>
      <c r="H19" s="213" t="s">
        <v>212</v>
      </c>
    </row>
    <row r="20" spans="1:8" x14ac:dyDescent="0.25">
      <c r="A20" s="40">
        <v>17</v>
      </c>
      <c r="B20" s="41">
        <v>1364</v>
      </c>
      <c r="C20" s="42"/>
      <c r="D20" s="234" t="s">
        <v>250</v>
      </c>
      <c r="E20" s="213" t="s">
        <v>186</v>
      </c>
      <c r="F20" s="236" t="s">
        <v>204</v>
      </c>
      <c r="G20" s="213" t="s">
        <v>208</v>
      </c>
      <c r="H20" s="213" t="s">
        <v>260</v>
      </c>
    </row>
    <row r="21" spans="1:8" x14ac:dyDescent="0.25">
      <c r="A21" s="40">
        <v>18</v>
      </c>
      <c r="B21" s="41">
        <v>1264</v>
      </c>
      <c r="C21" s="42"/>
      <c r="D21" s="234" t="s">
        <v>251</v>
      </c>
      <c r="E21" s="213" t="s">
        <v>187</v>
      </c>
      <c r="F21" s="236" t="s">
        <v>261</v>
      </c>
      <c r="G21" s="213" t="s">
        <v>208</v>
      </c>
      <c r="H21" s="213" t="s">
        <v>211</v>
      </c>
    </row>
    <row r="22" spans="1:8" x14ac:dyDescent="0.25">
      <c r="A22" s="40">
        <v>19</v>
      </c>
      <c r="B22" s="41">
        <v>1265</v>
      </c>
      <c r="C22" s="42"/>
      <c r="D22" s="234" t="s">
        <v>252</v>
      </c>
      <c r="E22" s="213" t="s">
        <v>188</v>
      </c>
      <c r="F22" s="236" t="s">
        <v>205</v>
      </c>
      <c r="G22" s="213" t="s">
        <v>208</v>
      </c>
      <c r="H22" s="213" t="s">
        <v>210</v>
      </c>
    </row>
    <row r="23" spans="1:8" ht="15.75" x14ac:dyDescent="0.25">
      <c r="A23" s="40">
        <v>20</v>
      </c>
      <c r="B23" s="41">
        <v>1266</v>
      </c>
      <c r="C23" s="42"/>
      <c r="D23" s="235" t="s">
        <v>253</v>
      </c>
      <c r="E23" s="213" t="s">
        <v>189</v>
      </c>
      <c r="F23" s="238" t="s">
        <v>206</v>
      </c>
      <c r="G23" s="238" t="s">
        <v>207</v>
      </c>
      <c r="H23" s="238" t="s">
        <v>209</v>
      </c>
    </row>
    <row r="24" spans="1:8" x14ac:dyDescent="0.25">
      <c r="A24" s="40">
        <v>21</v>
      </c>
      <c r="B24" s="41"/>
      <c r="C24" s="42"/>
      <c r="D24" s="212"/>
      <c r="E24" s="44"/>
      <c r="F24" s="40"/>
      <c r="G24" s="98"/>
      <c r="H24" s="40"/>
    </row>
    <row r="25" spans="1:8" x14ac:dyDescent="0.25">
      <c r="A25" s="40">
        <v>22</v>
      </c>
      <c r="B25" s="41"/>
      <c r="C25" s="42"/>
      <c r="D25" s="212"/>
      <c r="E25" s="44"/>
      <c r="F25" s="40"/>
      <c r="G25" s="98"/>
      <c r="H25" s="40"/>
    </row>
    <row r="26" spans="1:8" x14ac:dyDescent="0.25">
      <c r="A26" s="40">
        <v>23</v>
      </c>
      <c r="B26" s="41"/>
      <c r="C26" s="42"/>
      <c r="D26" s="212"/>
      <c r="E26" s="44"/>
      <c r="F26" s="40"/>
      <c r="G26" s="98"/>
      <c r="H26" s="40"/>
    </row>
    <row r="27" spans="1:8" x14ac:dyDescent="0.25">
      <c r="A27" s="40">
        <v>24</v>
      </c>
      <c r="B27" s="41"/>
      <c r="C27" s="42"/>
      <c r="D27" s="43"/>
      <c r="E27" s="44"/>
      <c r="F27" s="40"/>
      <c r="G27" s="98"/>
      <c r="H27" s="40"/>
    </row>
    <row r="28" spans="1:8" x14ac:dyDescent="0.25">
      <c r="A28" s="40">
        <v>25</v>
      </c>
      <c r="B28" s="41"/>
      <c r="C28" s="42"/>
      <c r="D28" s="43"/>
      <c r="E28" s="44"/>
      <c r="F28" s="40"/>
      <c r="G28" s="98"/>
      <c r="H28" s="40"/>
    </row>
    <row r="29" spans="1:8" x14ac:dyDescent="0.25">
      <c r="A29" s="40">
        <v>26</v>
      </c>
      <c r="B29" s="41"/>
      <c r="C29" s="42"/>
      <c r="D29" s="43"/>
      <c r="E29" s="44"/>
      <c r="F29" s="40"/>
      <c r="G29" s="98"/>
      <c r="H29" s="40"/>
    </row>
    <row r="30" spans="1:8" x14ac:dyDescent="0.25">
      <c r="A30" s="40">
        <v>27</v>
      </c>
      <c r="B30" s="41"/>
      <c r="C30" s="42"/>
      <c r="D30" s="43"/>
      <c r="E30" s="44"/>
      <c r="F30" s="40"/>
      <c r="G30" s="98"/>
      <c r="H30" s="40"/>
    </row>
    <row r="31" spans="1:8" x14ac:dyDescent="0.25">
      <c r="A31" s="40">
        <v>28</v>
      </c>
      <c r="B31" s="41"/>
      <c r="C31" s="42"/>
      <c r="D31" s="43"/>
      <c r="E31" s="44"/>
      <c r="F31" s="40"/>
      <c r="G31" s="98"/>
      <c r="H31" s="40"/>
    </row>
    <row r="32" spans="1:8" x14ac:dyDescent="0.25">
      <c r="A32" s="40">
        <v>29</v>
      </c>
      <c r="B32" s="41"/>
      <c r="C32" s="42"/>
      <c r="D32" s="43"/>
      <c r="E32" s="44"/>
      <c r="F32" s="40"/>
      <c r="G32" s="98"/>
      <c r="H32" s="40"/>
    </row>
    <row r="33" spans="1:8" ht="13.5" customHeight="1" x14ac:dyDescent="0.25">
      <c r="A33" s="40">
        <v>30</v>
      </c>
      <c r="B33" s="41"/>
      <c r="C33" s="42"/>
      <c r="D33" s="43"/>
      <c r="E33" s="44"/>
      <c r="F33" s="40"/>
      <c r="G33" s="98"/>
      <c r="H33" s="40"/>
    </row>
    <row r="34" spans="1:8" ht="13.5" customHeight="1" x14ac:dyDescent="0.25">
      <c r="A34" s="40">
        <v>31</v>
      </c>
      <c r="B34" s="41"/>
      <c r="C34" s="42"/>
      <c r="D34" s="43"/>
      <c r="E34" s="44"/>
      <c r="F34" s="40"/>
      <c r="G34" s="98"/>
      <c r="H34" s="40"/>
    </row>
    <row r="35" spans="1:8" ht="13.5" customHeight="1" x14ac:dyDescent="0.25">
      <c r="A35" s="40">
        <v>32</v>
      </c>
      <c r="B35" s="41"/>
      <c r="C35" s="42"/>
      <c r="D35" s="43"/>
      <c r="E35" s="44"/>
      <c r="F35" s="40"/>
      <c r="G35" s="98"/>
      <c r="H35" s="40"/>
    </row>
    <row r="36" spans="1:8" ht="13.5" customHeight="1" x14ac:dyDescent="0.25">
      <c r="A36" s="40">
        <v>33</v>
      </c>
      <c r="B36" s="41"/>
      <c r="C36" s="42"/>
      <c r="D36" s="43"/>
      <c r="E36" s="44"/>
      <c r="F36" s="40"/>
      <c r="G36" s="98"/>
      <c r="H36" s="40"/>
    </row>
    <row r="37" spans="1:8" ht="13.5" customHeight="1" x14ac:dyDescent="0.25">
      <c r="A37" s="40">
        <v>34</v>
      </c>
      <c r="B37" s="41"/>
      <c r="C37" s="42"/>
      <c r="D37" s="43"/>
      <c r="E37" s="44"/>
      <c r="F37" s="40"/>
      <c r="G37" s="98"/>
      <c r="H37" s="40"/>
    </row>
    <row r="38" spans="1:8" ht="13.5" customHeight="1" x14ac:dyDescent="0.25">
      <c r="A38" s="40">
        <v>35</v>
      </c>
      <c r="B38" s="41"/>
      <c r="C38" s="42"/>
      <c r="D38" s="43"/>
      <c r="E38" s="44"/>
      <c r="F38" s="40"/>
      <c r="G38" s="98"/>
      <c r="H38" s="40"/>
    </row>
    <row r="39" spans="1:8" ht="13.5" customHeight="1" x14ac:dyDescent="0.25">
      <c r="A39" s="40">
        <v>36</v>
      </c>
      <c r="B39" s="41"/>
      <c r="C39" s="42"/>
      <c r="D39" s="43"/>
      <c r="E39" s="44"/>
      <c r="F39" s="40"/>
      <c r="G39" s="98"/>
      <c r="H39" s="40"/>
    </row>
    <row r="40" spans="1:8" ht="13.5" customHeight="1" x14ac:dyDescent="0.25">
      <c r="A40" s="40">
        <v>37</v>
      </c>
      <c r="B40" s="41"/>
      <c r="C40" s="42"/>
      <c r="D40" s="43"/>
      <c r="E40" s="44"/>
      <c r="F40" s="40"/>
      <c r="G40" s="98"/>
      <c r="H40" s="40"/>
    </row>
    <row r="41" spans="1:8" ht="13.5" customHeight="1" x14ac:dyDescent="0.25">
      <c r="A41" s="40">
        <v>38</v>
      </c>
      <c r="B41" s="41"/>
      <c r="C41" s="42"/>
      <c r="D41" s="43"/>
      <c r="E41" s="44"/>
      <c r="F41" s="40"/>
      <c r="G41" s="98"/>
      <c r="H41" s="40"/>
    </row>
    <row r="42" spans="1:8" ht="13.5" customHeight="1" x14ac:dyDescent="0.25">
      <c r="A42" s="40">
        <v>39</v>
      </c>
      <c r="B42" s="41"/>
      <c r="C42" s="42"/>
      <c r="D42" s="43"/>
      <c r="E42" s="44"/>
      <c r="F42" s="40"/>
      <c r="G42" s="98"/>
      <c r="H42" s="40"/>
    </row>
    <row r="43" spans="1:8" x14ac:dyDescent="0.25">
      <c r="A43" s="40">
        <v>40</v>
      </c>
      <c r="B43" s="41"/>
      <c r="C43" s="42"/>
      <c r="D43" s="43"/>
      <c r="E43" s="44"/>
      <c r="F43" s="40"/>
      <c r="G43" s="98"/>
      <c r="H43" s="40"/>
    </row>
    <row r="44" spans="1:8" x14ac:dyDescent="0.25">
      <c r="A44" s="100"/>
      <c r="B44" s="101"/>
      <c r="C44" s="102"/>
      <c r="D44" s="103"/>
      <c r="E44" s="104"/>
      <c r="F44" s="105" t="s">
        <v>111</v>
      </c>
      <c r="G44" s="106">
        <f>COUNTIF(G4:G43,"L")</f>
        <v>0</v>
      </c>
      <c r="H44" s="100"/>
    </row>
    <row r="45" spans="1:8" ht="15.75" thickBot="1" x14ac:dyDescent="0.3">
      <c r="F45" s="38" t="s">
        <v>112</v>
      </c>
      <c r="G45" s="196">
        <f>COUNTIF(G4:G43,"P")</f>
        <v>0</v>
      </c>
    </row>
    <row r="46" spans="1:8" ht="15.75" x14ac:dyDescent="0.25">
      <c r="E46" s="38"/>
      <c r="F46" s="38" t="s">
        <v>110</v>
      </c>
      <c r="G46" s="195">
        <f>SUM(G44:G45)</f>
        <v>0</v>
      </c>
    </row>
    <row r="47" spans="1:8" hidden="1" x14ac:dyDescent="0.25">
      <c r="E47" s="38"/>
    </row>
    <row r="48" spans="1:8" hidden="1" x14ac:dyDescent="0.25">
      <c r="E48" s="38"/>
    </row>
    <row r="49" spans="1:5" ht="15.75" x14ac:dyDescent="0.25">
      <c r="A49" s="115" t="s">
        <v>73</v>
      </c>
      <c r="B49" s="115"/>
      <c r="C49" s="115"/>
      <c r="E49" s="38"/>
    </row>
    <row r="50" spans="1:5" hidden="1" x14ac:dyDescent="0.25">
      <c r="E50" s="38"/>
    </row>
    <row r="51" spans="1:5" hidden="1" x14ac:dyDescent="0.25">
      <c r="E51" s="38"/>
    </row>
    <row r="52" spans="1:5" hidden="1" x14ac:dyDescent="0.25">
      <c r="E52" s="38"/>
    </row>
    <row r="53" spans="1:5" hidden="1" x14ac:dyDescent="0.25">
      <c r="E53" s="38"/>
    </row>
    <row r="54" spans="1:5" hidden="1" x14ac:dyDescent="0.25">
      <c r="E54" s="38"/>
    </row>
    <row r="55" spans="1:5" hidden="1" x14ac:dyDescent="0.25">
      <c r="E55" s="38"/>
    </row>
    <row r="56" spans="1:5" hidden="1" x14ac:dyDescent="0.25"/>
    <row r="57" spans="1:5" hidden="1" x14ac:dyDescent="0.25"/>
    <row r="58" spans="1:5" hidden="1" x14ac:dyDescent="0.25"/>
    <row r="59" spans="1:5" x14ac:dyDescent="0.25">
      <c r="A59" s="33">
        <v>1</v>
      </c>
      <c r="B59" s="33" t="s">
        <v>11</v>
      </c>
      <c r="E59" s="45" t="s">
        <v>228</v>
      </c>
    </row>
    <row r="60" spans="1:5" x14ac:dyDescent="0.25">
      <c r="A60" s="33">
        <v>2</v>
      </c>
      <c r="B60" s="33" t="s">
        <v>91</v>
      </c>
      <c r="E60" s="45" t="s">
        <v>152</v>
      </c>
    </row>
    <row r="61" spans="1:5" x14ac:dyDescent="0.25">
      <c r="A61" s="33">
        <v>3</v>
      </c>
      <c r="B61" s="33" t="s">
        <v>92</v>
      </c>
      <c r="E61" s="45" t="s">
        <v>229</v>
      </c>
    </row>
    <row r="62" spans="1:5" x14ac:dyDescent="0.25">
      <c r="A62" s="33">
        <v>4</v>
      </c>
      <c r="B62" s="33" t="s">
        <v>76</v>
      </c>
      <c r="E62" s="112">
        <v>20403896</v>
      </c>
    </row>
    <row r="63" spans="1:5" x14ac:dyDescent="0.25">
      <c r="A63" s="33">
        <v>5</v>
      </c>
      <c r="B63" s="33" t="s">
        <v>77</v>
      </c>
      <c r="E63" s="113" t="s">
        <v>93</v>
      </c>
    </row>
    <row r="64" spans="1:5" x14ac:dyDescent="0.25">
      <c r="A64" s="33">
        <v>6</v>
      </c>
      <c r="B64" s="33" t="s">
        <v>78</v>
      </c>
      <c r="E64" s="45" t="s">
        <v>230</v>
      </c>
    </row>
    <row r="65" spans="1:5" x14ac:dyDescent="0.25">
      <c r="A65" s="33">
        <v>7</v>
      </c>
      <c r="B65" s="33" t="s">
        <v>79</v>
      </c>
      <c r="E65" s="45" t="s">
        <v>231</v>
      </c>
    </row>
    <row r="66" spans="1:5" x14ac:dyDescent="0.25">
      <c r="A66" s="33">
        <v>8</v>
      </c>
      <c r="B66" s="33" t="s">
        <v>80</v>
      </c>
      <c r="E66" s="45" t="s">
        <v>232</v>
      </c>
    </row>
    <row r="67" spans="1:5" x14ac:dyDescent="0.25">
      <c r="A67" s="33">
        <v>9</v>
      </c>
      <c r="B67" s="33" t="s">
        <v>81</v>
      </c>
      <c r="E67" s="214" t="s">
        <v>149</v>
      </c>
    </row>
    <row r="68" spans="1:5" x14ac:dyDescent="0.25">
      <c r="A68" s="33">
        <v>10</v>
      </c>
      <c r="B68" s="33" t="s">
        <v>75</v>
      </c>
      <c r="E68" s="45" t="s">
        <v>154</v>
      </c>
    </row>
    <row r="69" spans="1:5" x14ac:dyDescent="0.25">
      <c r="A69" s="33">
        <v>11</v>
      </c>
      <c r="B69" s="33" t="s">
        <v>153</v>
      </c>
      <c r="E69" s="45" t="s">
        <v>166</v>
      </c>
    </row>
  </sheetData>
  <sheetProtection sheet="1" objects="1" scenarios="1" formatColumns="0" formatRows="0"/>
  <mergeCells count="3">
    <mergeCell ref="A2:C2"/>
    <mergeCell ref="E2:E3"/>
    <mergeCell ref="G2:G3"/>
  </mergeCells>
  <hyperlinks>
    <hyperlink ref="I2" location="Home!A1" display="BACK HOME"/>
  </hyperlinks>
  <pageMargins left="0.67" right="0.70866141732283472" top="0.74803149606299213" bottom="0.74803149606299213" header="0.31496062992125984" footer="0.31496062992125984"/>
  <pageSetup paperSize="133"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6" workbookViewId="0">
      <selection activeCell="D11" sqref="D11"/>
    </sheetView>
  </sheetViews>
  <sheetFormatPr defaultColWidth="0" defaultRowHeight="18.75" zeroHeight="1" x14ac:dyDescent="0.3"/>
  <cols>
    <col min="1" max="1" width="9.140625" style="199" customWidth="1"/>
    <col min="2" max="2" width="59.5703125" style="199" customWidth="1"/>
    <col min="3" max="3" width="3.7109375" style="199" customWidth="1"/>
    <col min="4" max="4" width="10" style="199" bestFit="1" customWidth="1"/>
    <col min="5" max="5" width="9.140625" style="199" customWidth="1"/>
    <col min="6" max="16384" width="9.140625" style="199" hidden="1"/>
  </cols>
  <sheetData>
    <row r="1" spans="1:4" ht="19.5" thickBot="1" x14ac:dyDescent="0.35">
      <c r="A1" s="194" t="s">
        <v>20</v>
      </c>
    </row>
    <row r="2" spans="1:4" x14ac:dyDescent="0.3"/>
    <row r="3" spans="1:4" x14ac:dyDescent="0.3"/>
    <row r="4" spans="1:4" x14ac:dyDescent="0.3">
      <c r="B4" s="204" t="s">
        <v>133</v>
      </c>
    </row>
    <row r="5" spans="1:4" x14ac:dyDescent="0.3">
      <c r="A5" s="197" t="s">
        <v>131</v>
      </c>
      <c r="B5" s="198" t="s">
        <v>127</v>
      </c>
    </row>
    <row r="6" spans="1:4" ht="21" x14ac:dyDescent="0.35">
      <c r="A6" s="200" t="s">
        <v>118</v>
      </c>
      <c r="B6" s="198" t="s">
        <v>113</v>
      </c>
      <c r="C6" s="202" t="s">
        <v>9</v>
      </c>
      <c r="D6" s="221">
        <v>77</v>
      </c>
    </row>
    <row r="7" spans="1:4" ht="21" x14ac:dyDescent="0.35">
      <c r="A7" s="200" t="s">
        <v>119</v>
      </c>
      <c r="B7" s="198" t="s">
        <v>114</v>
      </c>
      <c r="C7" s="202" t="s">
        <v>9</v>
      </c>
      <c r="D7" s="221">
        <v>77</v>
      </c>
    </row>
    <row r="8" spans="1:4" ht="21" x14ac:dyDescent="0.35">
      <c r="A8" s="200" t="s">
        <v>120</v>
      </c>
      <c r="B8" s="198" t="s">
        <v>43</v>
      </c>
      <c r="C8" s="202" t="s">
        <v>9</v>
      </c>
      <c r="D8" s="221">
        <v>75</v>
      </c>
    </row>
    <row r="9" spans="1:4" ht="21" x14ac:dyDescent="0.35">
      <c r="A9" s="200" t="s">
        <v>121</v>
      </c>
      <c r="B9" s="198" t="s">
        <v>44</v>
      </c>
      <c r="C9" s="202" t="s">
        <v>9</v>
      </c>
      <c r="D9" s="221">
        <v>75</v>
      </c>
    </row>
    <row r="10" spans="1:4" ht="21" x14ac:dyDescent="0.35">
      <c r="A10" s="200" t="s">
        <v>122</v>
      </c>
      <c r="B10" s="198" t="s">
        <v>45</v>
      </c>
      <c r="C10" s="202" t="s">
        <v>9</v>
      </c>
      <c r="D10" s="221">
        <v>75</v>
      </c>
    </row>
    <row r="11" spans="1:4" ht="21" x14ac:dyDescent="0.35">
      <c r="A11" s="200" t="s">
        <v>123</v>
      </c>
      <c r="B11" s="198" t="s">
        <v>46</v>
      </c>
      <c r="C11" s="202" t="s">
        <v>9</v>
      </c>
      <c r="D11" s="221">
        <v>75</v>
      </c>
    </row>
    <row r="12" spans="1:4" ht="21" x14ac:dyDescent="0.35">
      <c r="A12" s="200" t="s">
        <v>124</v>
      </c>
      <c r="B12" s="198" t="s">
        <v>115</v>
      </c>
      <c r="C12" s="202" t="s">
        <v>9</v>
      </c>
      <c r="D12" s="221">
        <v>75</v>
      </c>
    </row>
    <row r="13" spans="1:4" ht="21" x14ac:dyDescent="0.35">
      <c r="A13" s="200" t="s">
        <v>125</v>
      </c>
      <c r="B13" s="198" t="s">
        <v>116</v>
      </c>
      <c r="C13" s="202" t="s">
        <v>9</v>
      </c>
      <c r="D13" s="221">
        <v>77</v>
      </c>
    </row>
    <row r="14" spans="1:4" ht="21" x14ac:dyDescent="0.35">
      <c r="A14" s="200" t="s">
        <v>126</v>
      </c>
      <c r="B14" s="198" t="s">
        <v>117</v>
      </c>
      <c r="C14" s="202" t="s">
        <v>9</v>
      </c>
      <c r="D14" s="221">
        <v>75</v>
      </c>
    </row>
    <row r="15" spans="1:4" x14ac:dyDescent="0.3">
      <c r="B15" s="203" t="s">
        <v>130</v>
      </c>
      <c r="C15" s="202" t="s">
        <v>132</v>
      </c>
      <c r="D15" s="206">
        <f>IF(D6="","",AVERAGE(D6:D14))</f>
        <v>75.666666666666671</v>
      </c>
    </row>
    <row r="16" spans="1:4" x14ac:dyDescent="0.3">
      <c r="B16" s="203"/>
      <c r="C16" s="202"/>
      <c r="D16" s="205"/>
    </row>
    <row r="17" spans="1:4" ht="21" x14ac:dyDescent="0.35">
      <c r="A17" s="201" t="s">
        <v>129</v>
      </c>
      <c r="B17" s="198" t="s">
        <v>128</v>
      </c>
      <c r="C17" s="202" t="s">
        <v>9</v>
      </c>
      <c r="D17" s="207">
        <v>74.45</v>
      </c>
    </row>
    <row r="18" spans="1:4" x14ac:dyDescent="0.3"/>
    <row r="19" spans="1:4" x14ac:dyDescent="0.3"/>
    <row r="20" spans="1:4" x14ac:dyDescent="0.3"/>
    <row r="21" spans="1:4" x14ac:dyDescent="0.3"/>
    <row r="22" spans="1:4" x14ac:dyDescent="0.3"/>
    <row r="23" spans="1:4" x14ac:dyDescent="0.3"/>
    <row r="24" spans="1:4" x14ac:dyDescent="0.3"/>
    <row r="25" spans="1:4" x14ac:dyDescent="0.3"/>
    <row r="26" spans="1:4" x14ac:dyDescent="0.3"/>
    <row r="27" spans="1:4" hidden="1" x14ac:dyDescent="0.3"/>
    <row r="28" spans="1:4" hidden="1" x14ac:dyDescent="0.3"/>
    <row r="29" spans="1:4" hidden="1" x14ac:dyDescent="0.3"/>
    <row r="30" spans="1:4" hidden="1" x14ac:dyDescent="0.3"/>
    <row r="31" spans="1:4" hidden="1" x14ac:dyDescent="0.3"/>
    <row r="32" spans="1:4" hidden="1" x14ac:dyDescent="0.3"/>
    <row r="33" hidden="1" x14ac:dyDescent="0.3"/>
    <row r="34" hidden="1" x14ac:dyDescent="0.3"/>
    <row r="35" hidden="1" x14ac:dyDescent="0.3"/>
    <row r="36" hidden="1" x14ac:dyDescent="0.3"/>
    <row r="37" hidden="1" x14ac:dyDescent="0.3"/>
    <row r="38" hidden="1" x14ac:dyDescent="0.3"/>
  </sheetData>
  <sheetProtection sheet="1" objects="1" scenarios="1"/>
  <hyperlinks>
    <hyperlink ref="A1" location="Home!A1" display="BACK HOME"/>
  </hyperlink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336"/>
  <sheetViews>
    <sheetView showGridLines="0" view="pageBreakPreview" topLeftCell="G1" zoomScale="119" zoomScaleNormal="86" zoomScaleSheetLayoutView="119" zoomScalePageLayoutView="70" workbookViewId="0">
      <pane ySplit="6" topLeftCell="A99" activePane="bottomLeft" state="frozen"/>
      <selection activeCell="F1" sqref="F1"/>
      <selection pane="bottomLeft" activeCell="B1" sqref="B1:W106"/>
    </sheetView>
  </sheetViews>
  <sheetFormatPr defaultRowHeight="15" zeroHeight="1" x14ac:dyDescent="0.25"/>
  <cols>
    <col min="1" max="1" width="2" style="52" customWidth="1"/>
    <col min="2" max="2" width="6" style="53" customWidth="1"/>
    <col min="3" max="5" width="24" style="52" hidden="1" customWidth="1"/>
    <col min="6" max="6" width="24" style="82" hidden="1" customWidth="1"/>
    <col min="7" max="7" width="33.42578125" style="52" customWidth="1"/>
    <col min="8" max="8" width="18.28515625" style="52" customWidth="1"/>
    <col min="9" max="9" width="6.28515625" style="52" customWidth="1"/>
    <col min="10" max="10" width="8.5703125" style="52" customWidth="1"/>
    <col min="11" max="11" width="8" style="52" customWidth="1"/>
    <col min="12" max="14" width="6.140625" style="83" customWidth="1"/>
    <col min="15" max="15" width="6.28515625" style="52" customWidth="1"/>
    <col min="16" max="16" width="6.42578125" style="52" customWidth="1"/>
    <col min="17" max="17" width="6.5703125" style="52" customWidth="1"/>
    <col min="18" max="18" width="6.28515625" style="52" customWidth="1"/>
    <col min="19" max="19" width="7.5703125" style="52" customWidth="1"/>
    <col min="20" max="20" width="8.140625" style="52" customWidth="1"/>
    <col min="21" max="21" width="4.7109375" style="52" hidden="1" customWidth="1"/>
    <col min="22" max="22" width="5" style="52" hidden="1" customWidth="1"/>
    <col min="23" max="23" width="7.85546875" style="52" customWidth="1"/>
    <col min="24" max="24" width="17.7109375" style="52" customWidth="1"/>
    <col min="25" max="25" width="3.5703125" style="52" hidden="1" customWidth="1"/>
    <col min="26" max="26" width="3.85546875" style="52" hidden="1" customWidth="1"/>
    <col min="27" max="27" width="3.140625" style="52" hidden="1" customWidth="1"/>
    <col min="28" max="28" width="18.140625" style="52" hidden="1" customWidth="1"/>
    <col min="29" max="29" width="8.42578125" style="52" hidden="1" customWidth="1"/>
    <col min="30" max="30" width="0" style="52" hidden="1" customWidth="1"/>
    <col min="31" max="34" width="9.140625" style="52"/>
    <col min="35" max="16383" width="0" style="52" hidden="1" customWidth="1"/>
    <col min="16384" max="16384" width="9.140625" style="52"/>
  </cols>
  <sheetData>
    <row r="1" spans="2:29" ht="19.5" customHeight="1" thickBot="1" x14ac:dyDescent="0.3">
      <c r="B1" s="282" t="s">
        <v>18</v>
      </c>
      <c r="C1" s="282"/>
      <c r="D1" s="282"/>
      <c r="E1" s="282"/>
      <c r="F1" s="282"/>
      <c r="G1" s="282"/>
      <c r="H1" s="282"/>
      <c r="I1" s="282"/>
      <c r="J1" s="282"/>
      <c r="K1" s="282"/>
      <c r="L1" s="282"/>
      <c r="M1" s="282"/>
      <c r="N1" s="282"/>
      <c r="O1" s="282"/>
      <c r="P1" s="282"/>
      <c r="Q1" s="282"/>
      <c r="R1" s="254" t="s">
        <v>168</v>
      </c>
      <c r="S1" s="254"/>
      <c r="T1" s="254"/>
      <c r="U1" s="254"/>
      <c r="V1" s="254"/>
      <c r="W1" s="255"/>
      <c r="X1" s="110" t="s">
        <v>67</v>
      </c>
    </row>
    <row r="2" spans="2:29" ht="21.75" customHeight="1" thickBot="1" x14ac:dyDescent="0.3">
      <c r="B2" s="282" t="str">
        <f>'DATA SISWA &amp; SEK'!E59</f>
        <v>SEKOLAH  DASAR NEGERI SERANG</v>
      </c>
      <c r="C2" s="282"/>
      <c r="D2" s="282"/>
      <c r="E2" s="282"/>
      <c r="F2" s="282"/>
      <c r="G2" s="282"/>
      <c r="H2" s="282"/>
      <c r="I2" s="282"/>
      <c r="J2" s="282"/>
      <c r="K2" s="282"/>
      <c r="L2" s="282"/>
      <c r="M2" s="282"/>
      <c r="N2" s="282"/>
      <c r="O2" s="282"/>
      <c r="P2" s="282"/>
      <c r="Q2" s="282"/>
      <c r="R2" s="192"/>
      <c r="S2" s="192"/>
      <c r="T2" s="233" t="s">
        <v>163</v>
      </c>
      <c r="U2" s="192"/>
      <c r="V2" s="192"/>
      <c r="W2" s="209">
        <v>40</v>
      </c>
      <c r="X2" s="194" t="s">
        <v>20</v>
      </c>
    </row>
    <row r="3" spans="2:29" ht="18" customHeight="1" x14ac:dyDescent="0.25">
      <c r="B3" s="283" t="str">
        <f>"TAHUN PELAJARAN    "&amp;'DATA SISWA &amp; SEK'!E60</f>
        <v>TAHUN PELAJARAN    2021/2022</v>
      </c>
      <c r="C3" s="283"/>
      <c r="D3" s="283"/>
      <c r="E3" s="283"/>
      <c r="F3" s="283"/>
      <c r="G3" s="283"/>
      <c r="H3" s="283"/>
      <c r="I3" s="283"/>
      <c r="J3" s="283"/>
      <c r="K3" s="283"/>
      <c r="L3" s="283"/>
      <c r="M3" s="283"/>
      <c r="N3" s="283"/>
      <c r="O3" s="283"/>
      <c r="P3" s="283"/>
      <c r="Q3" s="283"/>
      <c r="R3" s="193"/>
      <c r="S3" s="193"/>
      <c r="T3" s="233" t="s">
        <v>169</v>
      </c>
      <c r="U3" s="193"/>
      <c r="V3" s="193"/>
      <c r="W3" s="209">
        <v>60</v>
      </c>
      <c r="X3" s="55"/>
    </row>
    <row r="4" spans="2:29" ht="8.25" customHeight="1" thickBot="1" x14ac:dyDescent="0.3">
      <c r="F4" s="54"/>
      <c r="S4" s="55"/>
      <c r="T4" s="55"/>
      <c r="U4" s="55"/>
      <c r="X4" s="55"/>
    </row>
    <row r="5" spans="2:29" ht="23.25" customHeight="1" x14ac:dyDescent="0.3">
      <c r="B5" s="279" t="s">
        <v>6</v>
      </c>
      <c r="C5" s="133"/>
      <c r="D5" s="133"/>
      <c r="E5" s="133"/>
      <c r="F5" s="277"/>
      <c r="G5" s="275" t="s">
        <v>0</v>
      </c>
      <c r="H5" s="273" t="s">
        <v>8</v>
      </c>
      <c r="I5" s="273"/>
      <c r="J5" s="281" t="s">
        <v>7</v>
      </c>
      <c r="K5" s="281"/>
      <c r="L5" s="281"/>
      <c r="M5" s="281"/>
      <c r="N5" s="281"/>
      <c r="O5" s="281"/>
      <c r="P5" s="281"/>
      <c r="Q5" s="281"/>
      <c r="R5" s="281"/>
      <c r="S5" s="273" t="s">
        <v>4</v>
      </c>
      <c r="T5" s="260" t="s">
        <v>5</v>
      </c>
      <c r="U5" s="260" t="s">
        <v>56</v>
      </c>
      <c r="V5" s="262" t="s">
        <v>57</v>
      </c>
      <c r="W5" s="270" t="s">
        <v>94</v>
      </c>
      <c r="X5" s="55"/>
    </row>
    <row r="6" spans="2:29" ht="23.25" customHeight="1" thickBot="1" x14ac:dyDescent="0.3">
      <c r="B6" s="280"/>
      <c r="C6" s="134"/>
      <c r="D6" s="134"/>
      <c r="E6" s="134"/>
      <c r="F6" s="278"/>
      <c r="G6" s="276"/>
      <c r="H6" s="274"/>
      <c r="I6" s="274"/>
      <c r="J6" s="56" t="s">
        <v>17</v>
      </c>
      <c r="K6" s="56" t="str">
        <f>IF('DATA SISWA &amp; SEK'!E63="2013","PPKN","PKN")</f>
        <v>PPKN</v>
      </c>
      <c r="L6" s="56" t="s">
        <v>13</v>
      </c>
      <c r="M6" s="56" t="s">
        <v>1</v>
      </c>
      <c r="N6" s="56" t="s">
        <v>2</v>
      </c>
      <c r="O6" s="56" t="s">
        <v>3</v>
      </c>
      <c r="P6" s="56" t="str">
        <f>IF('DATA SISWA &amp; SEK'!E63="2013","SBdP","SBK")</f>
        <v>SBdP</v>
      </c>
      <c r="Q6" s="56" t="s">
        <v>16</v>
      </c>
      <c r="R6" s="56" t="s">
        <v>14</v>
      </c>
      <c r="S6" s="274"/>
      <c r="T6" s="261"/>
      <c r="U6" s="261"/>
      <c r="V6" s="263"/>
      <c r="W6" s="271"/>
      <c r="X6" s="55"/>
    </row>
    <row r="7" spans="2:29" ht="20.25" customHeight="1" x14ac:dyDescent="0.3">
      <c r="B7" s="135">
        <f>IF('DATA SISWA &amp; SEK'!A4="","",'DATA SISWA &amp; SEK'!A4)</f>
        <v>1</v>
      </c>
      <c r="C7" s="136"/>
      <c r="D7" s="136"/>
      <c r="E7" s="136"/>
      <c r="F7" s="96"/>
      <c r="G7" s="137" t="str">
        <f>IF(B7="","",VLOOKUP(B7,'DATA SISWA &amp; SEK'!$A$4:$H$43,5,FALSE))</f>
        <v>ADITYA BAGAS PRATAMA</v>
      </c>
      <c r="H7" s="138" t="s">
        <v>167</v>
      </c>
      <c r="I7" s="139" t="s">
        <v>165</v>
      </c>
      <c r="J7" s="215">
        <v>85</v>
      </c>
      <c r="K7" s="215">
        <v>83</v>
      </c>
      <c r="L7" s="215">
        <v>85</v>
      </c>
      <c r="M7" s="215">
        <v>80</v>
      </c>
      <c r="N7" s="215">
        <v>82</v>
      </c>
      <c r="O7" s="215">
        <v>81</v>
      </c>
      <c r="P7" s="215">
        <v>88</v>
      </c>
      <c r="Q7" s="215">
        <v>80</v>
      </c>
      <c r="R7" s="215">
        <v>85</v>
      </c>
      <c r="S7" s="142">
        <f t="shared" ref="S7:S46" si="0">IF(J7="","",SUM(J7:R7))</f>
        <v>749</v>
      </c>
      <c r="T7" s="142">
        <f>IF(J7="","",AVERAGE(J7:R7))</f>
        <v>83.222222222222229</v>
      </c>
      <c r="U7" s="143"/>
      <c r="V7" s="143"/>
      <c r="W7" s="272">
        <f>IF(T11="","",RANK(Z11,$Z$11:$Z$206,0))</f>
        <v>15</v>
      </c>
      <c r="X7" s="55"/>
      <c r="AC7" s="52" t="s">
        <v>134</v>
      </c>
    </row>
    <row r="8" spans="2:29" ht="20.25" customHeight="1" x14ac:dyDescent="0.25">
      <c r="B8" s="57"/>
      <c r="C8" s="58"/>
      <c r="D8" s="58"/>
      <c r="E8" s="58"/>
      <c r="F8" s="65"/>
      <c r="G8" s="66"/>
      <c r="H8" s="67"/>
      <c r="I8" s="68" t="s">
        <v>164</v>
      </c>
      <c r="J8" s="69">
        <v>85</v>
      </c>
      <c r="K8" s="69">
        <v>80</v>
      </c>
      <c r="L8" s="95">
        <v>80</v>
      </c>
      <c r="M8" s="95">
        <v>82</v>
      </c>
      <c r="N8" s="95">
        <v>78</v>
      </c>
      <c r="O8" s="69">
        <v>80</v>
      </c>
      <c r="P8" s="69">
        <v>80</v>
      </c>
      <c r="Q8" s="69">
        <v>87</v>
      </c>
      <c r="R8" s="69">
        <v>80</v>
      </c>
      <c r="S8" s="62">
        <f t="shared" si="0"/>
        <v>732</v>
      </c>
      <c r="T8" s="62">
        <f>IF(J8="","",AVERAGE(J8:R8))</f>
        <v>81.333333333333329</v>
      </c>
      <c r="U8" s="63"/>
      <c r="V8" s="63"/>
      <c r="W8" s="257"/>
      <c r="X8" s="55"/>
      <c r="AA8" s="52">
        <v>1</v>
      </c>
      <c r="AB8" s="198" t="s">
        <v>113</v>
      </c>
      <c r="AC8" s="52">
        <f>KKM!D6</f>
        <v>77</v>
      </c>
    </row>
    <row r="9" spans="2:29" ht="26.25" customHeight="1" x14ac:dyDescent="0.25">
      <c r="B9" s="57"/>
      <c r="C9" s="58">
        <f>B7</f>
        <v>1</v>
      </c>
      <c r="D9" s="58"/>
      <c r="E9" s="58"/>
      <c r="F9" s="65"/>
      <c r="G9" s="66"/>
      <c r="H9" s="266" t="s">
        <v>161</v>
      </c>
      <c r="I9" s="267"/>
      <c r="J9" s="216">
        <f t="shared" ref="J9:R9" si="1">IFERROR(ROUND(AVERAGE(J7:J8),2),"")</f>
        <v>85</v>
      </c>
      <c r="K9" s="216">
        <f t="shared" si="1"/>
        <v>81.5</v>
      </c>
      <c r="L9" s="216">
        <f t="shared" si="1"/>
        <v>82.5</v>
      </c>
      <c r="M9" s="216">
        <f t="shared" si="1"/>
        <v>81</v>
      </c>
      <c r="N9" s="216">
        <f t="shared" si="1"/>
        <v>80</v>
      </c>
      <c r="O9" s="216">
        <f t="shared" si="1"/>
        <v>80.5</v>
      </c>
      <c r="P9" s="216">
        <f t="shared" si="1"/>
        <v>84</v>
      </c>
      <c r="Q9" s="216">
        <f t="shared" si="1"/>
        <v>83.5</v>
      </c>
      <c r="R9" s="216">
        <f t="shared" si="1"/>
        <v>82.5</v>
      </c>
      <c r="S9" s="216">
        <f t="shared" si="0"/>
        <v>740.5</v>
      </c>
      <c r="T9" s="216">
        <f>IFERROR(ROUND(AVERAGE(J9:R9),2),"")</f>
        <v>82.28</v>
      </c>
      <c r="U9" s="70"/>
      <c r="V9" s="70"/>
      <c r="W9" s="257"/>
      <c r="X9" s="55"/>
      <c r="AA9" s="52">
        <v>5</v>
      </c>
      <c r="AB9" s="198" t="s">
        <v>45</v>
      </c>
      <c r="AC9" s="52">
        <f>KKM!D10</f>
        <v>75</v>
      </c>
    </row>
    <row r="10" spans="2:29" ht="20.25" customHeight="1" x14ac:dyDescent="0.25">
      <c r="B10" s="57"/>
      <c r="C10" s="58"/>
      <c r="D10" s="58"/>
      <c r="E10" s="58"/>
      <c r="F10" s="65"/>
      <c r="G10" s="66"/>
      <c r="H10" s="268" t="s">
        <v>162</v>
      </c>
      <c r="I10" s="269"/>
      <c r="J10" s="69">
        <v>81</v>
      </c>
      <c r="K10" s="69">
        <v>83</v>
      </c>
      <c r="L10" s="95">
        <v>79</v>
      </c>
      <c r="M10" s="95">
        <v>83</v>
      </c>
      <c r="N10" s="95">
        <v>82</v>
      </c>
      <c r="O10" s="69">
        <v>84</v>
      </c>
      <c r="P10" s="69">
        <v>80</v>
      </c>
      <c r="Q10" s="69">
        <v>88</v>
      </c>
      <c r="R10" s="69">
        <v>80</v>
      </c>
      <c r="S10" s="62">
        <f t="shared" si="0"/>
        <v>740</v>
      </c>
      <c r="T10" s="62">
        <f>IF(J10="","",AVERAGE(J10:R10))</f>
        <v>82.222222222222229</v>
      </c>
      <c r="U10" s="71"/>
      <c r="V10" s="71"/>
      <c r="W10" s="257"/>
      <c r="AA10" s="52">
        <v>6</v>
      </c>
      <c r="AB10" s="198" t="s">
        <v>46</v>
      </c>
      <c r="AC10" s="52">
        <f>KKM!D11</f>
        <v>75</v>
      </c>
    </row>
    <row r="11" spans="2:29" ht="20.25" customHeight="1" thickBot="1" x14ac:dyDescent="0.3">
      <c r="B11" s="72"/>
      <c r="C11" s="73"/>
      <c r="D11" s="73">
        <f>B7</f>
        <v>1</v>
      </c>
      <c r="E11" s="73"/>
      <c r="F11" s="74"/>
      <c r="G11" s="75"/>
      <c r="H11" s="264" t="s">
        <v>87</v>
      </c>
      <c r="I11" s="265"/>
      <c r="J11" s="127">
        <f>IFERROR(ROUND(((J9*$W$2)+(J10*$W$3))/100,2),"")</f>
        <v>82.6</v>
      </c>
      <c r="K11" s="127">
        <f t="shared" ref="K11" si="2">IFERROR(ROUND(((K9*$W$2)+(K10*$W$3))/100,2),"")</f>
        <v>82.4</v>
      </c>
      <c r="L11" s="127">
        <f t="shared" ref="L11" si="3">IFERROR(ROUND(((L9*$W$2)+(L10*$W$3))/100,2),"")</f>
        <v>80.400000000000006</v>
      </c>
      <c r="M11" s="127">
        <f t="shared" ref="M11" si="4">IFERROR(ROUND(((M9*$W$2)+(M10*$W$3))/100,2),"")</f>
        <v>82.2</v>
      </c>
      <c r="N11" s="127">
        <f t="shared" ref="N11" si="5">IFERROR(ROUND(((N9*$W$2)+(N10*$W$3))/100,2),"")</f>
        <v>81.2</v>
      </c>
      <c r="O11" s="127">
        <f t="shared" ref="O11" si="6">IFERROR(ROUND(((O9*$W$2)+(O10*$W$3))/100,2),"")</f>
        <v>82.6</v>
      </c>
      <c r="P11" s="127">
        <f t="shared" ref="P11" si="7">IFERROR(ROUND(((P9*$W$2)+(P10*$W$3))/100,2),"")</f>
        <v>81.599999999999994</v>
      </c>
      <c r="Q11" s="127">
        <f t="shared" ref="Q11" si="8">IFERROR(ROUND(((Q9*$W$2)+(Q10*$W$3))/100,2),"")</f>
        <v>86.2</v>
      </c>
      <c r="R11" s="127">
        <f t="shared" ref="R11" si="9">IFERROR(ROUND(((R9*$W$2)+(R10*$W$3))/100,2),"")</f>
        <v>81</v>
      </c>
      <c r="S11" s="127">
        <f t="shared" si="0"/>
        <v>740.2</v>
      </c>
      <c r="T11" s="127">
        <f>IFERROR(AVERAGE(J11:R11),"")</f>
        <v>82.244444444444454</v>
      </c>
      <c r="U11" s="76"/>
      <c r="V11" s="76"/>
      <c r="W11" s="258"/>
      <c r="X11" s="55"/>
      <c r="Z11" s="52">
        <f>IF(T11="","",T11)</f>
        <v>82.244444444444454</v>
      </c>
      <c r="AA11" s="52">
        <v>7</v>
      </c>
      <c r="AB11" s="198" t="s">
        <v>115</v>
      </c>
      <c r="AC11" s="52">
        <f>KKM!D12</f>
        <v>75</v>
      </c>
    </row>
    <row r="12" spans="2:29" ht="20.25" customHeight="1" x14ac:dyDescent="0.3">
      <c r="B12" s="57">
        <f>IF('DATA SISWA &amp; SEK'!A5="","",'DATA SISWA &amp; SEK'!A5)</f>
        <v>2</v>
      </c>
      <c r="C12" s="58"/>
      <c r="D12" s="58"/>
      <c r="E12" s="58"/>
      <c r="F12" s="59"/>
      <c r="G12" s="60" t="str">
        <f>IF(B12="","",VLOOKUP(B12,'DATA SISWA &amp; SEK'!$A$4:$H$43,5,FALSE))</f>
        <v>ADZRA NURY KHALISA</v>
      </c>
      <c r="H12" s="61" t="s">
        <v>167</v>
      </c>
      <c r="I12" s="68" t="s">
        <v>165</v>
      </c>
      <c r="J12" s="215">
        <v>89</v>
      </c>
      <c r="K12" s="215">
        <v>85</v>
      </c>
      <c r="L12" s="215">
        <v>93</v>
      </c>
      <c r="M12" s="215">
        <v>85</v>
      </c>
      <c r="N12" s="215">
        <v>83</v>
      </c>
      <c r="O12" s="215">
        <v>86</v>
      </c>
      <c r="P12" s="215">
        <v>89</v>
      </c>
      <c r="Q12" s="215">
        <v>88</v>
      </c>
      <c r="R12" s="215">
        <v>83</v>
      </c>
      <c r="S12" s="62">
        <f t="shared" si="0"/>
        <v>781</v>
      </c>
      <c r="T12" s="62">
        <f>IF(J12="","",AVERAGE(J12:R12))</f>
        <v>86.777777777777771</v>
      </c>
      <c r="U12" s="63"/>
      <c r="V12" s="63"/>
      <c r="W12" s="256">
        <f>IF(T16="","",RANK(Z16,$Z$11:$Z$206,0))</f>
        <v>6</v>
      </c>
      <c r="X12" s="55"/>
      <c r="AA12" s="52">
        <v>8</v>
      </c>
      <c r="AB12" s="198" t="s">
        <v>116</v>
      </c>
      <c r="AC12" s="52">
        <f>KKM!D13</f>
        <v>77</v>
      </c>
    </row>
    <row r="13" spans="2:29" ht="20.25" customHeight="1" x14ac:dyDescent="0.25">
      <c r="B13" s="57"/>
      <c r="C13" s="58"/>
      <c r="D13" s="58"/>
      <c r="E13" s="58"/>
      <c r="F13" s="65"/>
      <c r="G13" s="66"/>
      <c r="H13" s="67"/>
      <c r="I13" s="68" t="s">
        <v>164</v>
      </c>
      <c r="J13" s="69">
        <v>91</v>
      </c>
      <c r="K13" s="69">
        <v>90</v>
      </c>
      <c r="L13" s="95">
        <v>90</v>
      </c>
      <c r="M13" s="95">
        <v>90</v>
      </c>
      <c r="N13" s="95">
        <v>84</v>
      </c>
      <c r="O13" s="69">
        <v>86</v>
      </c>
      <c r="P13" s="69">
        <v>90</v>
      </c>
      <c r="Q13" s="69">
        <v>87</v>
      </c>
      <c r="R13" s="69">
        <v>87</v>
      </c>
      <c r="S13" s="62">
        <f t="shared" si="0"/>
        <v>795</v>
      </c>
      <c r="T13" s="62">
        <f>IF(J13="","",AVERAGE(J13:R13))</f>
        <v>88.333333333333329</v>
      </c>
      <c r="U13" s="63"/>
      <c r="V13" s="63"/>
      <c r="W13" s="257"/>
      <c r="X13" s="55"/>
      <c r="AA13" s="52">
        <v>9</v>
      </c>
      <c r="AB13" s="198" t="s">
        <v>117</v>
      </c>
      <c r="AC13" s="52">
        <f>KKM!D14</f>
        <v>75</v>
      </c>
    </row>
    <row r="14" spans="2:29" ht="26.25" customHeight="1" x14ac:dyDescent="0.25">
      <c r="B14" s="57"/>
      <c r="C14" s="58">
        <f>B12</f>
        <v>2</v>
      </c>
      <c r="D14" s="58"/>
      <c r="E14" s="58"/>
      <c r="F14" s="65"/>
      <c r="G14" s="66"/>
      <c r="H14" s="266" t="s">
        <v>161</v>
      </c>
      <c r="I14" s="267"/>
      <c r="J14" s="216">
        <f t="shared" ref="J14:R14" si="10">IFERROR(ROUND(AVERAGE(J12:J13),2),"")</f>
        <v>90</v>
      </c>
      <c r="K14" s="216">
        <f t="shared" si="10"/>
        <v>87.5</v>
      </c>
      <c r="L14" s="216">
        <f t="shared" si="10"/>
        <v>91.5</v>
      </c>
      <c r="M14" s="216">
        <f t="shared" si="10"/>
        <v>87.5</v>
      </c>
      <c r="N14" s="216">
        <f t="shared" si="10"/>
        <v>83.5</v>
      </c>
      <c r="O14" s="216">
        <f t="shared" si="10"/>
        <v>86</v>
      </c>
      <c r="P14" s="216">
        <f t="shared" si="10"/>
        <v>89.5</v>
      </c>
      <c r="Q14" s="216">
        <f t="shared" si="10"/>
        <v>87.5</v>
      </c>
      <c r="R14" s="216">
        <f t="shared" si="10"/>
        <v>85</v>
      </c>
      <c r="S14" s="216">
        <f t="shared" si="0"/>
        <v>788</v>
      </c>
      <c r="T14" s="216">
        <f>IFERROR(ROUND(AVERAGE(J14:R14),2),"")</f>
        <v>87.56</v>
      </c>
      <c r="U14" s="70"/>
      <c r="V14" s="70"/>
      <c r="W14" s="257"/>
      <c r="X14" s="55"/>
    </row>
    <row r="15" spans="2:29" ht="20.25" customHeight="1" x14ac:dyDescent="0.25">
      <c r="B15" s="57"/>
      <c r="C15" s="58"/>
      <c r="D15" s="58"/>
      <c r="E15" s="58"/>
      <c r="F15" s="65"/>
      <c r="G15" s="66"/>
      <c r="H15" s="268" t="s">
        <v>162</v>
      </c>
      <c r="I15" s="269"/>
      <c r="J15" s="69">
        <v>84</v>
      </c>
      <c r="K15" s="69">
        <v>89</v>
      </c>
      <c r="L15" s="95">
        <v>100</v>
      </c>
      <c r="M15" s="95">
        <v>89</v>
      </c>
      <c r="N15" s="95">
        <v>81</v>
      </c>
      <c r="O15" s="69">
        <v>94</v>
      </c>
      <c r="P15" s="69">
        <v>84</v>
      </c>
      <c r="Q15" s="69">
        <v>92</v>
      </c>
      <c r="R15" s="69">
        <v>96</v>
      </c>
      <c r="S15" s="62">
        <f t="shared" si="0"/>
        <v>809</v>
      </c>
      <c r="T15" s="62">
        <f>IF(J15="","",AVERAGE(J15:R15))</f>
        <v>89.888888888888886</v>
      </c>
      <c r="U15" s="71"/>
      <c r="V15" s="71"/>
      <c r="W15" s="257"/>
    </row>
    <row r="16" spans="2:29" ht="31.5" customHeight="1" thickBot="1" x14ac:dyDescent="0.3">
      <c r="B16" s="72"/>
      <c r="C16" s="73"/>
      <c r="D16" s="73">
        <f>B12</f>
        <v>2</v>
      </c>
      <c r="E16" s="73"/>
      <c r="F16" s="74"/>
      <c r="G16" s="75"/>
      <c r="H16" s="264" t="s">
        <v>87</v>
      </c>
      <c r="I16" s="265"/>
      <c r="J16" s="127">
        <f>IFERROR(ROUND(((J14*$W$2)+(J15*$W$3))/100,2),"")</f>
        <v>86.4</v>
      </c>
      <c r="K16" s="127">
        <f t="shared" ref="K16:R16" si="11">IFERROR(ROUND(((K14*$W$2)+(K15*$W$3))/100,2),"")</f>
        <v>88.4</v>
      </c>
      <c r="L16" s="127">
        <f t="shared" si="11"/>
        <v>96.6</v>
      </c>
      <c r="M16" s="127">
        <f t="shared" si="11"/>
        <v>88.4</v>
      </c>
      <c r="N16" s="127">
        <f t="shared" si="11"/>
        <v>82</v>
      </c>
      <c r="O16" s="127">
        <f t="shared" si="11"/>
        <v>90.8</v>
      </c>
      <c r="P16" s="127">
        <f t="shared" si="11"/>
        <v>86.2</v>
      </c>
      <c r="Q16" s="127">
        <f t="shared" si="11"/>
        <v>90.2</v>
      </c>
      <c r="R16" s="127">
        <f t="shared" si="11"/>
        <v>91.6</v>
      </c>
      <c r="S16" s="127">
        <f t="shared" si="0"/>
        <v>800.6</v>
      </c>
      <c r="T16" s="127">
        <f>IFERROR(AVERAGE(J16:R16),"")</f>
        <v>88.955555555555563</v>
      </c>
      <c r="U16" s="76"/>
      <c r="V16" s="76"/>
      <c r="W16" s="258"/>
      <c r="X16" s="55"/>
      <c r="Z16" s="52">
        <f>IF(T16="","",T16)</f>
        <v>88.955555555555563</v>
      </c>
    </row>
    <row r="17" spans="2:26" ht="21" customHeight="1" x14ac:dyDescent="0.3">
      <c r="B17" s="57">
        <f>IF('DATA SISWA &amp; SEK'!A6="","",'DATA SISWA &amp; SEK'!A6)</f>
        <v>3</v>
      </c>
      <c r="C17" s="58"/>
      <c r="D17" s="58"/>
      <c r="E17" s="58"/>
      <c r="F17" s="59"/>
      <c r="G17" s="60" t="str">
        <f>IF(B17="","",VLOOKUP(B17,'DATA SISWA &amp; SEK'!$A$4:$H$43,5,FALSE))</f>
        <v>AISYAH NUR RAMADHANI</v>
      </c>
      <c r="H17" s="61" t="s">
        <v>167</v>
      </c>
      <c r="I17" s="68" t="s">
        <v>165</v>
      </c>
      <c r="J17" s="215">
        <v>90</v>
      </c>
      <c r="K17" s="215">
        <v>90</v>
      </c>
      <c r="L17" s="215">
        <v>94</v>
      </c>
      <c r="M17" s="215">
        <v>93</v>
      </c>
      <c r="N17" s="215">
        <v>88</v>
      </c>
      <c r="O17" s="215">
        <v>89</v>
      </c>
      <c r="P17" s="215">
        <v>90</v>
      </c>
      <c r="Q17" s="215">
        <v>89</v>
      </c>
      <c r="R17" s="215">
        <v>85</v>
      </c>
      <c r="S17" s="62">
        <f t="shared" si="0"/>
        <v>808</v>
      </c>
      <c r="T17" s="62">
        <f>IF(J17="","",AVERAGE(J17:R17))</f>
        <v>89.777777777777771</v>
      </c>
      <c r="U17" s="63"/>
      <c r="V17" s="63"/>
      <c r="W17" s="256">
        <f>IF(T21="","",RANK(Z21,$Z$11:$Z$206,0))</f>
        <v>3</v>
      </c>
    </row>
    <row r="18" spans="2:26" ht="21" customHeight="1" x14ac:dyDescent="0.25">
      <c r="B18" s="57"/>
      <c r="C18" s="58"/>
      <c r="D18" s="58"/>
      <c r="E18" s="58"/>
      <c r="F18" s="65"/>
      <c r="G18" s="66"/>
      <c r="H18" s="67"/>
      <c r="I18" s="68" t="s">
        <v>164</v>
      </c>
      <c r="J18" s="69">
        <v>85</v>
      </c>
      <c r="K18" s="69">
        <v>91</v>
      </c>
      <c r="L18" s="95">
        <v>96</v>
      </c>
      <c r="M18" s="95">
        <v>97</v>
      </c>
      <c r="N18" s="95">
        <v>98</v>
      </c>
      <c r="O18" s="69">
        <v>88</v>
      </c>
      <c r="P18" s="69">
        <v>80</v>
      </c>
      <c r="Q18" s="69">
        <v>89</v>
      </c>
      <c r="R18" s="69">
        <v>85</v>
      </c>
      <c r="S18" s="62">
        <f t="shared" si="0"/>
        <v>809</v>
      </c>
      <c r="T18" s="62">
        <f>IF(J18="","",AVERAGE(J18:R18))</f>
        <v>89.888888888888886</v>
      </c>
      <c r="U18" s="63"/>
      <c r="V18" s="63"/>
      <c r="W18" s="257"/>
    </row>
    <row r="19" spans="2:26" ht="21" customHeight="1" x14ac:dyDescent="0.25">
      <c r="B19" s="57"/>
      <c r="C19" s="58">
        <f>B17</f>
        <v>3</v>
      </c>
      <c r="D19" s="58"/>
      <c r="E19" s="58"/>
      <c r="F19" s="65"/>
      <c r="G19" s="66"/>
      <c r="H19" s="266" t="s">
        <v>161</v>
      </c>
      <c r="I19" s="267"/>
      <c r="J19" s="216">
        <f t="shared" ref="J19:R19" si="12">IFERROR(ROUND(AVERAGE(J17:J18),2),"")</f>
        <v>87.5</v>
      </c>
      <c r="K19" s="216">
        <f t="shared" si="12"/>
        <v>90.5</v>
      </c>
      <c r="L19" s="216">
        <f t="shared" si="12"/>
        <v>95</v>
      </c>
      <c r="M19" s="216">
        <f t="shared" si="12"/>
        <v>95</v>
      </c>
      <c r="N19" s="216">
        <f t="shared" si="12"/>
        <v>93</v>
      </c>
      <c r="O19" s="216">
        <f t="shared" si="12"/>
        <v>88.5</v>
      </c>
      <c r="P19" s="216">
        <f t="shared" si="12"/>
        <v>85</v>
      </c>
      <c r="Q19" s="216">
        <f t="shared" si="12"/>
        <v>89</v>
      </c>
      <c r="R19" s="216">
        <f t="shared" si="12"/>
        <v>85</v>
      </c>
      <c r="S19" s="216">
        <f t="shared" si="0"/>
        <v>808.5</v>
      </c>
      <c r="T19" s="216">
        <f>IFERROR(ROUND(AVERAGE(J19:R19),2),"")</f>
        <v>89.83</v>
      </c>
      <c r="U19" s="70"/>
      <c r="V19" s="70"/>
      <c r="W19" s="257"/>
      <c r="X19" s="55"/>
    </row>
    <row r="20" spans="2:26" ht="21" customHeight="1" x14ac:dyDescent="0.25">
      <c r="B20" s="57"/>
      <c r="C20" s="58"/>
      <c r="D20" s="58"/>
      <c r="E20" s="58"/>
      <c r="F20" s="65"/>
      <c r="G20" s="66"/>
      <c r="H20" s="268" t="s">
        <v>162</v>
      </c>
      <c r="I20" s="269"/>
      <c r="J20" s="69">
        <v>97</v>
      </c>
      <c r="K20" s="69">
        <v>96</v>
      </c>
      <c r="L20" s="95">
        <v>91</v>
      </c>
      <c r="M20" s="95">
        <v>86</v>
      </c>
      <c r="N20" s="95">
        <v>90</v>
      </c>
      <c r="O20" s="69">
        <v>91</v>
      </c>
      <c r="P20" s="69">
        <v>96</v>
      </c>
      <c r="Q20" s="69">
        <v>88</v>
      </c>
      <c r="R20" s="69">
        <v>91</v>
      </c>
      <c r="S20" s="62">
        <f t="shared" si="0"/>
        <v>826</v>
      </c>
      <c r="T20" s="62">
        <f>IF(J20="","",AVERAGE(J20:R20))</f>
        <v>91.777777777777771</v>
      </c>
      <c r="U20" s="71"/>
      <c r="V20" s="71"/>
      <c r="W20" s="257"/>
    </row>
    <row r="21" spans="2:26" ht="21" customHeight="1" thickBot="1" x14ac:dyDescent="0.3">
      <c r="B21" s="72"/>
      <c r="C21" s="73"/>
      <c r="D21" s="73">
        <f>B17</f>
        <v>3</v>
      </c>
      <c r="E21" s="73"/>
      <c r="F21" s="74"/>
      <c r="G21" s="75"/>
      <c r="H21" s="264" t="s">
        <v>87</v>
      </c>
      <c r="I21" s="265"/>
      <c r="J21" s="127">
        <f>IFERROR(ROUND(((J19*$W$2)+(J20*$W$3))/100,2),"")</f>
        <v>93.2</v>
      </c>
      <c r="K21" s="127">
        <f t="shared" ref="K21" si="13">IFERROR(ROUND(((K19*$W$2)+(K20*$W$3))/100,2),"")</f>
        <v>93.8</v>
      </c>
      <c r="L21" s="127">
        <f t="shared" ref="L21" si="14">IFERROR(ROUND(((L19*$W$2)+(L20*$W$3))/100,2),"")</f>
        <v>92.6</v>
      </c>
      <c r="M21" s="127">
        <f t="shared" ref="M21" si="15">IFERROR(ROUND(((M19*$W$2)+(M20*$W$3))/100,2),"")</f>
        <v>89.6</v>
      </c>
      <c r="N21" s="127">
        <f t="shared" ref="N21" si="16">IFERROR(ROUND(((N19*$W$2)+(N20*$W$3))/100,2),"")</f>
        <v>91.2</v>
      </c>
      <c r="O21" s="127">
        <f t="shared" ref="O21" si="17">IFERROR(ROUND(((O19*$W$2)+(O20*$W$3))/100,2),"")</f>
        <v>90</v>
      </c>
      <c r="P21" s="127">
        <f t="shared" ref="P21" si="18">IFERROR(ROUND(((P19*$W$2)+(P20*$W$3))/100,2),"")</f>
        <v>91.6</v>
      </c>
      <c r="Q21" s="127">
        <f t="shared" ref="Q21" si="19">IFERROR(ROUND(((Q19*$W$2)+(Q20*$W$3))/100,2),"")</f>
        <v>88.4</v>
      </c>
      <c r="R21" s="127">
        <f t="shared" ref="R21" si="20">IFERROR(ROUND(((R19*$W$2)+(R20*$W$3))/100,2),"")</f>
        <v>88.6</v>
      </c>
      <c r="S21" s="127">
        <f t="shared" si="0"/>
        <v>819.00000000000011</v>
      </c>
      <c r="T21" s="127">
        <f>IFERROR(AVERAGE(J21:R21),"")</f>
        <v>91.000000000000014</v>
      </c>
      <c r="U21" s="76"/>
      <c r="V21" s="76"/>
      <c r="W21" s="258"/>
      <c r="X21" s="55"/>
      <c r="Z21" s="52">
        <f>IF(T21="","",T21)</f>
        <v>91.000000000000014</v>
      </c>
    </row>
    <row r="22" spans="2:26" ht="21" customHeight="1" x14ac:dyDescent="0.3">
      <c r="B22" s="57">
        <f>IF('DATA SISWA &amp; SEK'!A7="","",'DATA SISWA &amp; SEK'!A7)</f>
        <v>4</v>
      </c>
      <c r="C22" s="58"/>
      <c r="D22" s="58"/>
      <c r="E22" s="58"/>
      <c r="F22" s="59"/>
      <c r="G22" s="60" t="str">
        <f>IF(B22="","",VLOOKUP(B22,'DATA SISWA &amp; SEK'!$A$4:$H$43,5,FALSE))</f>
        <v>ALIFYA ALIA LATIFA</v>
      </c>
      <c r="H22" s="61" t="s">
        <v>167</v>
      </c>
      <c r="I22" s="68" t="s">
        <v>165</v>
      </c>
      <c r="J22" s="215">
        <v>91</v>
      </c>
      <c r="K22" s="215">
        <v>89</v>
      </c>
      <c r="L22" s="215">
        <v>90</v>
      </c>
      <c r="M22" s="215">
        <v>93</v>
      </c>
      <c r="N22" s="215">
        <v>85</v>
      </c>
      <c r="O22" s="215">
        <v>86</v>
      </c>
      <c r="P22" s="215">
        <v>88</v>
      </c>
      <c r="Q22" s="215">
        <v>87</v>
      </c>
      <c r="R22" s="215">
        <v>88</v>
      </c>
      <c r="S22" s="62">
        <f t="shared" si="0"/>
        <v>797</v>
      </c>
      <c r="T22" s="62">
        <f>IF(J22="","",AVERAGE(J22:R22))</f>
        <v>88.555555555555557</v>
      </c>
      <c r="U22" s="63"/>
      <c r="V22" s="63"/>
      <c r="W22" s="256">
        <f>IF(T26="","",RANK(Z26,$Z$11:$Z$206,0))</f>
        <v>2</v>
      </c>
    </row>
    <row r="23" spans="2:26" ht="21" customHeight="1" x14ac:dyDescent="0.25">
      <c r="B23" s="57"/>
      <c r="C23" s="58"/>
      <c r="D23" s="58"/>
      <c r="E23" s="58"/>
      <c r="F23" s="65"/>
      <c r="G23" s="66"/>
      <c r="H23" s="67"/>
      <c r="I23" s="68" t="s">
        <v>164</v>
      </c>
      <c r="J23" s="69">
        <v>94</v>
      </c>
      <c r="K23" s="69">
        <v>90</v>
      </c>
      <c r="L23" s="95">
        <v>92</v>
      </c>
      <c r="M23" s="95">
        <v>95</v>
      </c>
      <c r="N23" s="95">
        <v>85</v>
      </c>
      <c r="O23" s="69">
        <v>88</v>
      </c>
      <c r="P23" s="69">
        <v>94</v>
      </c>
      <c r="Q23" s="69">
        <v>86</v>
      </c>
      <c r="R23" s="69">
        <v>89</v>
      </c>
      <c r="S23" s="62">
        <f t="shared" si="0"/>
        <v>813</v>
      </c>
      <c r="T23" s="62">
        <f>IF(J23="","",AVERAGE(J23:R23))</f>
        <v>90.333333333333329</v>
      </c>
      <c r="U23" s="63"/>
      <c r="V23" s="63"/>
      <c r="W23" s="257"/>
    </row>
    <row r="24" spans="2:26" ht="30" customHeight="1" x14ac:dyDescent="0.25">
      <c r="B24" s="57"/>
      <c r="C24" s="58">
        <f>B22</f>
        <v>4</v>
      </c>
      <c r="D24" s="58"/>
      <c r="E24" s="58"/>
      <c r="F24" s="65"/>
      <c r="G24" s="66"/>
      <c r="H24" s="266" t="s">
        <v>161</v>
      </c>
      <c r="I24" s="267"/>
      <c r="J24" s="216">
        <f t="shared" ref="J24:R24" si="21">IFERROR(ROUND(AVERAGE(J22:J23),2),"")</f>
        <v>92.5</v>
      </c>
      <c r="K24" s="216">
        <f t="shared" si="21"/>
        <v>89.5</v>
      </c>
      <c r="L24" s="216">
        <f t="shared" si="21"/>
        <v>91</v>
      </c>
      <c r="M24" s="216">
        <f t="shared" si="21"/>
        <v>94</v>
      </c>
      <c r="N24" s="216">
        <f t="shared" si="21"/>
        <v>85</v>
      </c>
      <c r="O24" s="216">
        <f t="shared" si="21"/>
        <v>87</v>
      </c>
      <c r="P24" s="216">
        <f t="shared" si="21"/>
        <v>91</v>
      </c>
      <c r="Q24" s="216">
        <f t="shared" si="21"/>
        <v>86.5</v>
      </c>
      <c r="R24" s="216">
        <f t="shared" si="21"/>
        <v>88.5</v>
      </c>
      <c r="S24" s="216">
        <f t="shared" si="0"/>
        <v>805</v>
      </c>
      <c r="T24" s="216">
        <f>IFERROR(ROUND(AVERAGE(J24:R24),2),"")</f>
        <v>89.44</v>
      </c>
      <c r="U24" s="70"/>
      <c r="V24" s="70"/>
      <c r="W24" s="257"/>
      <c r="X24" s="55"/>
    </row>
    <row r="25" spans="2:26" ht="21" customHeight="1" x14ac:dyDescent="0.25">
      <c r="B25" s="57"/>
      <c r="C25" s="58"/>
      <c r="D25" s="58"/>
      <c r="E25" s="58"/>
      <c r="F25" s="65"/>
      <c r="G25" s="66"/>
      <c r="H25" s="268" t="s">
        <v>162</v>
      </c>
      <c r="I25" s="269"/>
      <c r="J25" s="69">
        <v>84</v>
      </c>
      <c r="K25" s="69">
        <v>95</v>
      </c>
      <c r="L25" s="95">
        <v>98</v>
      </c>
      <c r="M25" s="95">
        <v>100</v>
      </c>
      <c r="N25" s="95">
        <v>100</v>
      </c>
      <c r="O25" s="69">
        <v>95</v>
      </c>
      <c r="P25" s="69">
        <v>84</v>
      </c>
      <c r="Q25" s="69">
        <v>91</v>
      </c>
      <c r="R25" s="69">
        <v>92</v>
      </c>
      <c r="S25" s="62">
        <f t="shared" si="0"/>
        <v>839</v>
      </c>
      <c r="T25" s="62">
        <f>IF(J25="","",AVERAGE(J25:R25))</f>
        <v>93.222222222222229</v>
      </c>
      <c r="U25" s="71"/>
      <c r="V25" s="71"/>
      <c r="W25" s="257"/>
    </row>
    <row r="26" spans="2:26" ht="30.75" customHeight="1" thickBot="1" x14ac:dyDescent="0.3">
      <c r="B26" s="72"/>
      <c r="C26" s="73"/>
      <c r="D26" s="73">
        <f>B22</f>
        <v>4</v>
      </c>
      <c r="E26" s="73"/>
      <c r="F26" s="74"/>
      <c r="G26" s="75"/>
      <c r="H26" s="264" t="s">
        <v>87</v>
      </c>
      <c r="I26" s="265"/>
      <c r="J26" s="127">
        <f>IFERROR(ROUND(((J24*$W$2)+(J25*$W$3))/100,2),"")</f>
        <v>87.4</v>
      </c>
      <c r="K26" s="127">
        <f t="shared" ref="K26" si="22">IFERROR(ROUND(((K24*$W$2)+(K25*$W$3))/100,2),"")</f>
        <v>92.8</v>
      </c>
      <c r="L26" s="127">
        <f t="shared" ref="L26" si="23">IFERROR(ROUND(((L24*$W$2)+(L25*$W$3))/100,2),"")</f>
        <v>95.2</v>
      </c>
      <c r="M26" s="127">
        <f t="shared" ref="M26" si="24">IFERROR(ROUND(((M24*$W$2)+(M25*$W$3))/100,2),"")</f>
        <v>97.6</v>
      </c>
      <c r="N26" s="127">
        <f t="shared" ref="N26" si="25">IFERROR(ROUND(((N24*$W$2)+(N25*$W$3))/100,2),"")</f>
        <v>94</v>
      </c>
      <c r="O26" s="127">
        <f t="shared" ref="O26" si="26">IFERROR(ROUND(((O24*$W$2)+(O25*$W$3))/100,2),"")</f>
        <v>91.8</v>
      </c>
      <c r="P26" s="127">
        <f t="shared" ref="P26" si="27">IFERROR(ROUND(((P24*$W$2)+(P25*$W$3))/100,2),"")</f>
        <v>86.8</v>
      </c>
      <c r="Q26" s="127">
        <f t="shared" ref="Q26" si="28">IFERROR(ROUND(((Q24*$W$2)+(Q25*$W$3))/100,2),"")</f>
        <v>89.2</v>
      </c>
      <c r="R26" s="127">
        <f t="shared" ref="R26" si="29">IFERROR(ROUND(((R24*$W$2)+(R25*$W$3))/100,2),"")</f>
        <v>90.6</v>
      </c>
      <c r="S26" s="127">
        <f t="shared" si="0"/>
        <v>825.4</v>
      </c>
      <c r="T26" s="127">
        <f>IFERROR(AVERAGE(J26:R26),"")</f>
        <v>91.711111111111109</v>
      </c>
      <c r="U26" s="76"/>
      <c r="V26" s="76"/>
      <c r="W26" s="258"/>
      <c r="X26" s="55"/>
      <c r="Z26" s="52">
        <f>IF(T26="","",T26)</f>
        <v>91.711111111111109</v>
      </c>
    </row>
    <row r="27" spans="2:26" s="55" customFormat="1" ht="19.5" customHeight="1" x14ac:dyDescent="0.3">
      <c r="B27" s="57">
        <f>IF('DATA SISWA &amp; SEK'!A8="","",'DATA SISWA &amp; SEK'!A8)</f>
        <v>5</v>
      </c>
      <c r="C27" s="58"/>
      <c r="D27" s="58"/>
      <c r="E27" s="58"/>
      <c r="F27" s="59"/>
      <c r="G27" s="60" t="str">
        <f>IF(B27="","",VLOOKUP(B27,'DATA SISWA &amp; SEK'!$A$4:$H$43,5,FALSE))</f>
        <v>ARUM ENDAH PERMATA SARI</v>
      </c>
      <c r="H27" s="61" t="s">
        <v>167</v>
      </c>
      <c r="I27" s="68" t="s">
        <v>165</v>
      </c>
      <c r="J27" s="215">
        <v>84</v>
      </c>
      <c r="K27" s="215">
        <v>87</v>
      </c>
      <c r="L27" s="215">
        <v>87</v>
      </c>
      <c r="M27" s="215">
        <v>85</v>
      </c>
      <c r="N27" s="215">
        <v>81</v>
      </c>
      <c r="O27" s="215">
        <v>85</v>
      </c>
      <c r="P27" s="215">
        <v>88</v>
      </c>
      <c r="Q27" s="215">
        <v>89</v>
      </c>
      <c r="R27" s="215">
        <v>82</v>
      </c>
      <c r="S27" s="62">
        <f t="shared" si="0"/>
        <v>768</v>
      </c>
      <c r="T27" s="62">
        <f>IF(J27="","",AVERAGE(J27:R27))</f>
        <v>85.333333333333329</v>
      </c>
      <c r="U27" s="63"/>
      <c r="V27" s="63"/>
      <c r="W27" s="256">
        <f>IF(T31="","",RANK(Z31,$Z$11:$Z$206,0))</f>
        <v>7</v>
      </c>
    </row>
    <row r="28" spans="2:26" s="55" customFormat="1" ht="19.5" customHeight="1" x14ac:dyDescent="0.25">
      <c r="B28" s="57"/>
      <c r="C28" s="58"/>
      <c r="D28" s="58"/>
      <c r="E28" s="58"/>
      <c r="F28" s="65"/>
      <c r="G28" s="66"/>
      <c r="H28" s="67"/>
      <c r="I28" s="68" t="s">
        <v>164</v>
      </c>
      <c r="J28" s="69">
        <v>86</v>
      </c>
      <c r="K28" s="69">
        <v>87</v>
      </c>
      <c r="L28" s="95">
        <v>89</v>
      </c>
      <c r="M28" s="95">
        <v>86</v>
      </c>
      <c r="N28" s="95">
        <v>80</v>
      </c>
      <c r="O28" s="69">
        <v>87</v>
      </c>
      <c r="P28" s="69">
        <v>89</v>
      </c>
      <c r="Q28" s="69">
        <v>90</v>
      </c>
      <c r="R28" s="69">
        <v>84</v>
      </c>
      <c r="S28" s="62">
        <f t="shared" si="0"/>
        <v>778</v>
      </c>
      <c r="T28" s="62">
        <f>IF(J28="","",AVERAGE(J28:R28))</f>
        <v>86.444444444444443</v>
      </c>
      <c r="U28" s="63"/>
      <c r="V28" s="63"/>
      <c r="W28" s="257"/>
    </row>
    <row r="29" spans="2:26" ht="30.75" customHeight="1" x14ac:dyDescent="0.25">
      <c r="B29" s="57"/>
      <c r="C29" s="58">
        <f>B27</f>
        <v>5</v>
      </c>
      <c r="D29" s="58"/>
      <c r="E29" s="58"/>
      <c r="F29" s="65"/>
      <c r="G29" s="66"/>
      <c r="H29" s="266" t="s">
        <v>161</v>
      </c>
      <c r="I29" s="267"/>
      <c r="J29" s="216">
        <f t="shared" ref="J29:R29" si="30">IFERROR(ROUND(AVERAGE(J27:J28),2),"")</f>
        <v>85</v>
      </c>
      <c r="K29" s="216">
        <f t="shared" si="30"/>
        <v>87</v>
      </c>
      <c r="L29" s="216">
        <f t="shared" si="30"/>
        <v>88</v>
      </c>
      <c r="M29" s="216">
        <f t="shared" si="30"/>
        <v>85.5</v>
      </c>
      <c r="N29" s="216">
        <f t="shared" si="30"/>
        <v>80.5</v>
      </c>
      <c r="O29" s="216">
        <f t="shared" si="30"/>
        <v>86</v>
      </c>
      <c r="P29" s="216">
        <f t="shared" si="30"/>
        <v>88.5</v>
      </c>
      <c r="Q29" s="216">
        <f t="shared" si="30"/>
        <v>89.5</v>
      </c>
      <c r="R29" s="216">
        <f t="shared" si="30"/>
        <v>83</v>
      </c>
      <c r="S29" s="216">
        <f t="shared" si="0"/>
        <v>773</v>
      </c>
      <c r="T29" s="216">
        <f>IFERROR(ROUND(AVERAGE(J29:R29),2),"")</f>
        <v>85.89</v>
      </c>
      <c r="U29" s="70"/>
      <c r="V29" s="70"/>
      <c r="W29" s="257"/>
      <c r="X29" s="55"/>
    </row>
    <row r="30" spans="2:26" ht="19.5" customHeight="1" x14ac:dyDescent="0.25">
      <c r="B30" s="57"/>
      <c r="C30" s="58"/>
      <c r="D30" s="58"/>
      <c r="E30" s="58"/>
      <c r="F30" s="65"/>
      <c r="G30" s="66"/>
      <c r="H30" s="268" t="s">
        <v>162</v>
      </c>
      <c r="I30" s="269"/>
      <c r="J30" s="69">
        <v>89</v>
      </c>
      <c r="K30" s="69">
        <v>89</v>
      </c>
      <c r="L30" s="95">
        <v>92</v>
      </c>
      <c r="M30" s="95">
        <v>81</v>
      </c>
      <c r="N30" s="95">
        <v>100</v>
      </c>
      <c r="O30" s="69">
        <v>97</v>
      </c>
      <c r="P30" s="69">
        <v>84</v>
      </c>
      <c r="Q30" s="69">
        <v>93</v>
      </c>
      <c r="R30" s="69">
        <v>86</v>
      </c>
      <c r="S30" s="62">
        <f t="shared" si="0"/>
        <v>811</v>
      </c>
      <c r="T30" s="62">
        <f>IF(J30="","",AVERAGE(J30:R30))</f>
        <v>90.111111111111114</v>
      </c>
      <c r="U30" s="71"/>
      <c r="V30" s="71"/>
      <c r="W30" s="257"/>
    </row>
    <row r="31" spans="2:26" ht="19.5" customHeight="1" thickBot="1" x14ac:dyDescent="0.3">
      <c r="B31" s="72"/>
      <c r="C31" s="73"/>
      <c r="D31" s="73">
        <f>B27</f>
        <v>5</v>
      </c>
      <c r="E31" s="73"/>
      <c r="F31" s="74"/>
      <c r="G31" s="75"/>
      <c r="H31" s="264" t="s">
        <v>87</v>
      </c>
      <c r="I31" s="265"/>
      <c r="J31" s="127">
        <f>IFERROR(ROUND(((J29*$W$2)+(J30*$W$3))/100,2),"")</f>
        <v>87.4</v>
      </c>
      <c r="K31" s="127">
        <f t="shared" ref="K31" si="31">IFERROR(ROUND(((K29*$W$2)+(K30*$W$3))/100,2),"")</f>
        <v>88.2</v>
      </c>
      <c r="L31" s="127">
        <f t="shared" ref="L31" si="32">IFERROR(ROUND(((L29*$W$2)+(L30*$W$3))/100,2),"")</f>
        <v>90.4</v>
      </c>
      <c r="M31" s="127">
        <f t="shared" ref="M31" si="33">IFERROR(ROUND(((M29*$W$2)+(M30*$W$3))/100,2),"")</f>
        <v>82.8</v>
      </c>
      <c r="N31" s="127">
        <f t="shared" ref="N31" si="34">IFERROR(ROUND(((N29*$W$2)+(N30*$W$3))/100,2),"")</f>
        <v>92.2</v>
      </c>
      <c r="O31" s="127">
        <f t="shared" ref="O31" si="35">IFERROR(ROUND(((O29*$W$2)+(O30*$W$3))/100,2),"")</f>
        <v>92.6</v>
      </c>
      <c r="P31" s="127">
        <f t="shared" ref="P31" si="36">IFERROR(ROUND(((P29*$W$2)+(P30*$W$3))/100,2),"")</f>
        <v>85.8</v>
      </c>
      <c r="Q31" s="127">
        <f t="shared" ref="Q31" si="37">IFERROR(ROUND(((Q29*$W$2)+(Q30*$W$3))/100,2),"")</f>
        <v>91.6</v>
      </c>
      <c r="R31" s="127">
        <f t="shared" ref="R31" si="38">IFERROR(ROUND(((R29*$W$2)+(R30*$W$3))/100,2),"")</f>
        <v>84.8</v>
      </c>
      <c r="S31" s="127">
        <f t="shared" si="0"/>
        <v>795.8</v>
      </c>
      <c r="T31" s="127">
        <f>IFERROR(AVERAGE(J31:R31),"")</f>
        <v>88.422222222222217</v>
      </c>
      <c r="U31" s="76"/>
      <c r="V31" s="76"/>
      <c r="W31" s="258"/>
      <c r="X31" s="55"/>
      <c r="Z31" s="52">
        <f>IF(T31="","",T31)</f>
        <v>88.422222222222217</v>
      </c>
    </row>
    <row r="32" spans="2:26" s="77" customFormat="1" ht="19.5" customHeight="1" x14ac:dyDescent="0.3">
      <c r="B32" s="57">
        <f>IF('DATA SISWA &amp; SEK'!A9="","",'DATA SISWA &amp; SEK'!A9)</f>
        <v>6</v>
      </c>
      <c r="C32" s="58"/>
      <c r="D32" s="58"/>
      <c r="E32" s="58"/>
      <c r="F32" s="59"/>
      <c r="G32" s="60" t="str">
        <f>IF(B32="","",VLOOKUP(B32,'DATA SISWA &amp; SEK'!$A$4:$H$43,5,FALSE))</f>
        <v>BERLIANA SUCI RAMADHANI</v>
      </c>
      <c r="H32" s="61" t="s">
        <v>167</v>
      </c>
      <c r="I32" s="68" t="s">
        <v>165</v>
      </c>
      <c r="J32" s="215">
        <v>94</v>
      </c>
      <c r="K32" s="215">
        <v>92</v>
      </c>
      <c r="L32" s="215">
        <v>94</v>
      </c>
      <c r="M32" s="215">
        <v>93</v>
      </c>
      <c r="N32" s="215">
        <v>87</v>
      </c>
      <c r="O32" s="215">
        <v>92</v>
      </c>
      <c r="P32" s="215">
        <v>90</v>
      </c>
      <c r="Q32" s="215">
        <v>87</v>
      </c>
      <c r="R32" s="215">
        <v>88</v>
      </c>
      <c r="S32" s="62">
        <f t="shared" si="0"/>
        <v>817</v>
      </c>
      <c r="T32" s="62">
        <f>IF(J32="","",AVERAGE(J32:R32))</f>
        <v>90.777777777777771</v>
      </c>
      <c r="U32" s="63"/>
      <c r="V32" s="63"/>
      <c r="W32" s="256">
        <f>IF(T36="","",RANK(Z36,$Z$11:$Z$206,0))</f>
        <v>1</v>
      </c>
    </row>
    <row r="33" spans="2:26" s="77" customFormat="1" ht="19.5" customHeight="1" x14ac:dyDescent="0.2">
      <c r="B33" s="57"/>
      <c r="C33" s="58"/>
      <c r="D33" s="58"/>
      <c r="E33" s="58"/>
      <c r="F33" s="65"/>
      <c r="G33" s="66"/>
      <c r="H33" s="67"/>
      <c r="I33" s="68" t="s">
        <v>164</v>
      </c>
      <c r="J33" s="69">
        <v>96</v>
      </c>
      <c r="K33" s="69">
        <v>90</v>
      </c>
      <c r="L33" s="95">
        <v>93</v>
      </c>
      <c r="M33" s="95">
        <v>94</v>
      </c>
      <c r="N33" s="95">
        <v>89</v>
      </c>
      <c r="O33" s="69">
        <v>91</v>
      </c>
      <c r="P33" s="69">
        <v>93</v>
      </c>
      <c r="Q33" s="69">
        <v>86</v>
      </c>
      <c r="R33" s="69">
        <v>89</v>
      </c>
      <c r="S33" s="62">
        <f t="shared" si="0"/>
        <v>821</v>
      </c>
      <c r="T33" s="62">
        <f>IF(J33="","",AVERAGE(J33:R33))</f>
        <v>91.222222222222229</v>
      </c>
      <c r="U33" s="63"/>
      <c r="V33" s="63"/>
      <c r="W33" s="257"/>
    </row>
    <row r="34" spans="2:26" ht="30.75" customHeight="1" x14ac:dyDescent="0.25">
      <c r="B34" s="57"/>
      <c r="C34" s="58">
        <f>B32</f>
        <v>6</v>
      </c>
      <c r="D34" s="58"/>
      <c r="E34" s="58"/>
      <c r="F34" s="65"/>
      <c r="G34" s="66"/>
      <c r="H34" s="266" t="s">
        <v>161</v>
      </c>
      <c r="I34" s="267"/>
      <c r="J34" s="216">
        <f t="shared" ref="J34:R34" si="39">IFERROR(ROUND(AVERAGE(J32:J33),2),"")</f>
        <v>95</v>
      </c>
      <c r="K34" s="216">
        <f t="shared" si="39"/>
        <v>91</v>
      </c>
      <c r="L34" s="216">
        <f t="shared" si="39"/>
        <v>93.5</v>
      </c>
      <c r="M34" s="216">
        <f t="shared" si="39"/>
        <v>93.5</v>
      </c>
      <c r="N34" s="216">
        <f t="shared" si="39"/>
        <v>88</v>
      </c>
      <c r="O34" s="216">
        <f t="shared" si="39"/>
        <v>91.5</v>
      </c>
      <c r="P34" s="216">
        <f t="shared" si="39"/>
        <v>91.5</v>
      </c>
      <c r="Q34" s="216">
        <f t="shared" si="39"/>
        <v>86.5</v>
      </c>
      <c r="R34" s="216">
        <f t="shared" si="39"/>
        <v>88.5</v>
      </c>
      <c r="S34" s="216">
        <f t="shared" si="0"/>
        <v>819</v>
      </c>
      <c r="T34" s="216">
        <f>IFERROR(ROUND(AVERAGE(J34:R34),2),"")</f>
        <v>91</v>
      </c>
      <c r="U34" s="70"/>
      <c r="V34" s="70"/>
      <c r="W34" s="257"/>
      <c r="X34" s="55"/>
    </row>
    <row r="35" spans="2:26" ht="19.5" customHeight="1" x14ac:dyDescent="0.25">
      <c r="B35" s="57"/>
      <c r="C35" s="58"/>
      <c r="D35" s="58"/>
      <c r="E35" s="58"/>
      <c r="F35" s="65"/>
      <c r="G35" s="66"/>
      <c r="H35" s="268" t="s">
        <v>162</v>
      </c>
      <c r="I35" s="269"/>
      <c r="J35" s="69">
        <v>89</v>
      </c>
      <c r="K35" s="69">
        <v>100</v>
      </c>
      <c r="L35" s="95">
        <v>98</v>
      </c>
      <c r="M35" s="95">
        <v>95</v>
      </c>
      <c r="N35" s="95">
        <v>90</v>
      </c>
      <c r="O35" s="69">
        <v>98</v>
      </c>
      <c r="P35" s="69">
        <v>84</v>
      </c>
      <c r="Q35" s="69">
        <v>91</v>
      </c>
      <c r="R35" s="69">
        <v>92</v>
      </c>
      <c r="S35" s="62">
        <f t="shared" si="0"/>
        <v>837</v>
      </c>
      <c r="T35" s="62">
        <f>IF(J35="","",AVERAGE(J35:R35))</f>
        <v>93</v>
      </c>
      <c r="U35" s="71"/>
      <c r="V35" s="71"/>
      <c r="W35" s="257"/>
    </row>
    <row r="36" spans="2:26" ht="33" customHeight="1" thickBot="1" x14ac:dyDescent="0.3">
      <c r="B36" s="72"/>
      <c r="C36" s="73"/>
      <c r="D36" s="73">
        <f>B32</f>
        <v>6</v>
      </c>
      <c r="E36" s="73"/>
      <c r="F36" s="74"/>
      <c r="G36" s="75"/>
      <c r="H36" s="264" t="s">
        <v>87</v>
      </c>
      <c r="I36" s="265"/>
      <c r="J36" s="127">
        <f>IFERROR(ROUND(((J34*$W$2)+(J35*$W$3))/100,2),"")</f>
        <v>91.4</v>
      </c>
      <c r="K36" s="127">
        <f t="shared" ref="K36" si="40">IFERROR(ROUND(((K34*$W$2)+(K35*$W$3))/100,2),"")</f>
        <v>96.4</v>
      </c>
      <c r="L36" s="127">
        <f t="shared" ref="L36" si="41">IFERROR(ROUND(((L34*$W$2)+(L35*$W$3))/100,2),"")</f>
        <v>96.2</v>
      </c>
      <c r="M36" s="127">
        <f t="shared" ref="M36" si="42">IFERROR(ROUND(((M34*$W$2)+(M35*$W$3))/100,2),"")</f>
        <v>94.4</v>
      </c>
      <c r="N36" s="127">
        <f t="shared" ref="N36" si="43">IFERROR(ROUND(((N34*$W$2)+(N35*$W$3))/100,2),"")</f>
        <v>89.2</v>
      </c>
      <c r="O36" s="127">
        <f t="shared" ref="O36" si="44">IFERROR(ROUND(((O34*$W$2)+(O35*$W$3))/100,2),"")</f>
        <v>95.4</v>
      </c>
      <c r="P36" s="127">
        <f t="shared" ref="P36" si="45">IFERROR(ROUND(((P34*$W$2)+(P35*$W$3))/100,2),"")</f>
        <v>87</v>
      </c>
      <c r="Q36" s="127">
        <f t="shared" ref="Q36" si="46">IFERROR(ROUND(((Q34*$W$2)+(Q35*$W$3))/100,2),"")</f>
        <v>89.2</v>
      </c>
      <c r="R36" s="127">
        <f t="shared" ref="R36" si="47">IFERROR(ROUND(((R34*$W$2)+(R35*$W$3))/100,2),"")</f>
        <v>90.6</v>
      </c>
      <c r="S36" s="127">
        <f t="shared" si="0"/>
        <v>829.80000000000007</v>
      </c>
      <c r="T36" s="127">
        <f>IFERROR(AVERAGE(J36:R36),"")</f>
        <v>92.2</v>
      </c>
      <c r="U36" s="76"/>
      <c r="V36" s="76"/>
      <c r="W36" s="258"/>
      <c r="X36" s="55"/>
      <c r="Z36" s="52">
        <f>IF(T36="","",T36)</f>
        <v>92.2</v>
      </c>
    </row>
    <row r="37" spans="2:26" s="77" customFormat="1" ht="19.5" customHeight="1" x14ac:dyDescent="0.3">
      <c r="B37" s="57">
        <f>IF('DATA SISWA &amp; SEK'!A10="","",'DATA SISWA &amp; SEK'!A10)</f>
        <v>7</v>
      </c>
      <c r="C37" s="58"/>
      <c r="D37" s="58"/>
      <c r="E37" s="58"/>
      <c r="F37" s="59"/>
      <c r="G37" s="60" t="str">
        <f>IF(B37="","",VLOOKUP(B37,'DATA SISWA &amp; SEK'!$A$4:$H$43,5,FALSE))</f>
        <v>DIKY SAPUTRO</v>
      </c>
      <c r="H37" s="61" t="s">
        <v>167</v>
      </c>
      <c r="I37" s="68" t="s">
        <v>165</v>
      </c>
      <c r="J37" s="215">
        <v>92</v>
      </c>
      <c r="K37" s="215">
        <v>92</v>
      </c>
      <c r="L37" s="215">
        <v>94</v>
      </c>
      <c r="M37" s="215">
        <v>93</v>
      </c>
      <c r="N37" s="215">
        <v>86</v>
      </c>
      <c r="O37" s="215">
        <v>88</v>
      </c>
      <c r="P37" s="215">
        <v>90</v>
      </c>
      <c r="Q37" s="215">
        <v>88</v>
      </c>
      <c r="R37" s="215">
        <v>88</v>
      </c>
      <c r="S37" s="62">
        <f t="shared" si="0"/>
        <v>811</v>
      </c>
      <c r="T37" s="62">
        <f>IF(J37="","",AVERAGE(J37:R37))</f>
        <v>90.111111111111114</v>
      </c>
      <c r="U37" s="63"/>
      <c r="V37" s="63"/>
      <c r="W37" s="256">
        <f>IF(T41="","",RANK(Z41,$Z$11:$Z$206,0))</f>
        <v>5</v>
      </c>
    </row>
    <row r="38" spans="2:26" s="77" customFormat="1" ht="19.5" customHeight="1" x14ac:dyDescent="0.2">
      <c r="B38" s="57"/>
      <c r="C38" s="58"/>
      <c r="D38" s="58"/>
      <c r="E38" s="58"/>
      <c r="F38" s="65"/>
      <c r="G38" s="66"/>
      <c r="H38" s="67"/>
      <c r="I38" s="68" t="s">
        <v>164</v>
      </c>
      <c r="J38" s="69">
        <v>94</v>
      </c>
      <c r="K38" s="69">
        <v>84</v>
      </c>
      <c r="L38" s="95">
        <v>92</v>
      </c>
      <c r="M38" s="95">
        <v>87</v>
      </c>
      <c r="N38" s="95">
        <v>82</v>
      </c>
      <c r="O38" s="69">
        <v>87</v>
      </c>
      <c r="P38" s="69">
        <v>88</v>
      </c>
      <c r="Q38" s="69">
        <v>87</v>
      </c>
      <c r="R38" s="69">
        <v>85</v>
      </c>
      <c r="S38" s="62">
        <f t="shared" si="0"/>
        <v>786</v>
      </c>
      <c r="T38" s="62">
        <f>IF(J38="","",AVERAGE(J38:R38))</f>
        <v>87.333333333333329</v>
      </c>
      <c r="U38" s="63"/>
      <c r="V38" s="63"/>
      <c r="W38" s="257"/>
    </row>
    <row r="39" spans="2:26" ht="29.25" customHeight="1" x14ac:dyDescent="0.25">
      <c r="B39" s="57"/>
      <c r="C39" s="58">
        <f>B37</f>
        <v>7</v>
      </c>
      <c r="D39" s="58"/>
      <c r="E39" s="58"/>
      <c r="F39" s="65"/>
      <c r="G39" s="66"/>
      <c r="H39" s="266" t="s">
        <v>161</v>
      </c>
      <c r="I39" s="267"/>
      <c r="J39" s="216">
        <f t="shared" ref="J39:R39" si="48">IFERROR(ROUND(AVERAGE(J37:J38),2),"")</f>
        <v>93</v>
      </c>
      <c r="K39" s="216">
        <f t="shared" si="48"/>
        <v>88</v>
      </c>
      <c r="L39" s="216">
        <f t="shared" si="48"/>
        <v>93</v>
      </c>
      <c r="M39" s="216">
        <f t="shared" si="48"/>
        <v>90</v>
      </c>
      <c r="N39" s="216">
        <f t="shared" si="48"/>
        <v>84</v>
      </c>
      <c r="O39" s="216">
        <f t="shared" si="48"/>
        <v>87.5</v>
      </c>
      <c r="P39" s="216">
        <f t="shared" si="48"/>
        <v>89</v>
      </c>
      <c r="Q39" s="216">
        <f t="shared" si="48"/>
        <v>87.5</v>
      </c>
      <c r="R39" s="216">
        <f t="shared" si="48"/>
        <v>86.5</v>
      </c>
      <c r="S39" s="216">
        <f t="shared" si="0"/>
        <v>798.5</v>
      </c>
      <c r="T39" s="216">
        <f>IFERROR(ROUND(AVERAGE(J39:R39),2),"")</f>
        <v>88.72</v>
      </c>
      <c r="U39" s="70"/>
      <c r="V39" s="70"/>
      <c r="W39" s="257"/>
      <c r="X39" s="55"/>
    </row>
    <row r="40" spans="2:26" ht="19.5" customHeight="1" x14ac:dyDescent="0.25">
      <c r="B40" s="57"/>
      <c r="C40" s="58"/>
      <c r="D40" s="58"/>
      <c r="E40" s="58"/>
      <c r="F40" s="65"/>
      <c r="G40" s="66"/>
      <c r="H40" s="268" t="s">
        <v>162</v>
      </c>
      <c r="I40" s="269"/>
      <c r="J40" s="69">
        <v>95</v>
      </c>
      <c r="K40" s="69">
        <v>96</v>
      </c>
      <c r="L40" s="95">
        <v>96</v>
      </c>
      <c r="M40" s="95">
        <v>81</v>
      </c>
      <c r="N40" s="95">
        <v>94</v>
      </c>
      <c r="O40" s="69">
        <v>96</v>
      </c>
      <c r="P40" s="69">
        <v>80</v>
      </c>
      <c r="Q40" s="69">
        <v>88</v>
      </c>
      <c r="R40" s="69">
        <v>88</v>
      </c>
      <c r="S40" s="62">
        <f t="shared" si="0"/>
        <v>814</v>
      </c>
      <c r="T40" s="62">
        <f>IF(J40="","",AVERAGE(J40:R40))</f>
        <v>90.444444444444443</v>
      </c>
      <c r="U40" s="71"/>
      <c r="V40" s="71"/>
      <c r="W40" s="257"/>
    </row>
    <row r="41" spans="2:26" ht="19.5" customHeight="1" thickBot="1" x14ac:dyDescent="0.3">
      <c r="B41" s="72"/>
      <c r="C41" s="73"/>
      <c r="D41" s="73">
        <f>B37</f>
        <v>7</v>
      </c>
      <c r="E41" s="73"/>
      <c r="F41" s="74"/>
      <c r="G41" s="75"/>
      <c r="H41" s="264" t="s">
        <v>87</v>
      </c>
      <c r="I41" s="265"/>
      <c r="J41" s="127">
        <f>IFERROR(ROUND(((J39*$W$2)+(J40*$W$3))/100,2),"")</f>
        <v>94.2</v>
      </c>
      <c r="K41" s="127">
        <f t="shared" ref="K41" si="49">IFERROR(ROUND(((K39*$W$2)+(K40*$W$3))/100,2),"")</f>
        <v>92.8</v>
      </c>
      <c r="L41" s="127">
        <f t="shared" ref="L41" si="50">IFERROR(ROUND(((L39*$W$2)+(L40*$W$3))/100,2),"")</f>
        <v>94.8</v>
      </c>
      <c r="M41" s="127">
        <f t="shared" ref="M41" si="51">IFERROR(ROUND(((M39*$W$2)+(M40*$W$3))/100,2),"")</f>
        <v>84.6</v>
      </c>
      <c r="N41" s="127">
        <f t="shared" ref="N41" si="52">IFERROR(ROUND(((N39*$W$2)+(N40*$W$3))/100,2),"")</f>
        <v>90</v>
      </c>
      <c r="O41" s="127">
        <f t="shared" ref="O41" si="53">IFERROR(ROUND(((O39*$W$2)+(O40*$W$3))/100,2),"")</f>
        <v>92.6</v>
      </c>
      <c r="P41" s="127">
        <f t="shared" ref="P41" si="54">IFERROR(ROUND(((P39*$W$2)+(P40*$W$3))/100,2),"")</f>
        <v>83.6</v>
      </c>
      <c r="Q41" s="127">
        <f t="shared" ref="Q41" si="55">IFERROR(ROUND(((Q39*$W$2)+(Q40*$W$3))/100,2),"")</f>
        <v>87.8</v>
      </c>
      <c r="R41" s="127">
        <f t="shared" ref="R41" si="56">IFERROR(ROUND(((R39*$W$2)+(R40*$W$3))/100,2),"")</f>
        <v>87.4</v>
      </c>
      <c r="S41" s="127">
        <f t="shared" si="0"/>
        <v>807.8</v>
      </c>
      <c r="T41" s="127">
        <f>IFERROR(AVERAGE(J41:R41),"")</f>
        <v>89.755555555555546</v>
      </c>
      <c r="U41" s="76"/>
      <c r="V41" s="76"/>
      <c r="W41" s="258"/>
      <c r="X41" s="55"/>
      <c r="Z41" s="52">
        <f>IF(T41="","",T41)</f>
        <v>89.755555555555546</v>
      </c>
    </row>
    <row r="42" spans="2:26" s="77" customFormat="1" ht="19.5" customHeight="1" x14ac:dyDescent="0.3">
      <c r="B42" s="57">
        <f>IF('DATA SISWA &amp; SEK'!A11="","",'DATA SISWA &amp; SEK'!A11)</f>
        <v>8</v>
      </c>
      <c r="C42" s="58"/>
      <c r="D42" s="58"/>
      <c r="E42" s="58"/>
      <c r="F42" s="59"/>
      <c r="G42" s="60" t="str">
        <f>IF(B42="","",VLOOKUP(B42,'DATA SISWA &amp; SEK'!$A$4:$H$43,5,FALSE))</f>
        <v>FADIL ADHA SAPUTRA</v>
      </c>
      <c r="H42" s="61" t="s">
        <v>167</v>
      </c>
      <c r="I42" s="68" t="s">
        <v>165</v>
      </c>
      <c r="J42" s="215">
        <v>86</v>
      </c>
      <c r="K42" s="215">
        <v>82</v>
      </c>
      <c r="L42" s="215">
        <v>83</v>
      </c>
      <c r="M42" s="215">
        <v>86</v>
      </c>
      <c r="N42" s="215">
        <v>83</v>
      </c>
      <c r="O42" s="215">
        <v>81</v>
      </c>
      <c r="P42" s="215">
        <v>84</v>
      </c>
      <c r="Q42" s="215">
        <v>88</v>
      </c>
      <c r="R42" s="215">
        <v>82</v>
      </c>
      <c r="S42" s="62">
        <f t="shared" si="0"/>
        <v>755</v>
      </c>
      <c r="T42" s="62">
        <f>IF(J42="","",AVERAGE(J42:R42))</f>
        <v>83.888888888888886</v>
      </c>
      <c r="U42" s="63"/>
      <c r="V42" s="63"/>
      <c r="W42" s="256">
        <f>IF(T46="","",RANK(Z46,$Z$11:$Z$206,0))</f>
        <v>9</v>
      </c>
    </row>
    <row r="43" spans="2:26" s="77" customFormat="1" ht="19.5" customHeight="1" x14ac:dyDescent="0.2">
      <c r="B43" s="57"/>
      <c r="C43" s="58"/>
      <c r="D43" s="58"/>
      <c r="E43" s="58"/>
      <c r="F43" s="65"/>
      <c r="G43" s="66"/>
      <c r="H43" s="67"/>
      <c r="I43" s="68" t="s">
        <v>164</v>
      </c>
      <c r="J43" s="69">
        <v>89</v>
      </c>
      <c r="K43" s="69">
        <v>85</v>
      </c>
      <c r="L43" s="95">
        <v>85</v>
      </c>
      <c r="M43" s="95">
        <v>88</v>
      </c>
      <c r="N43" s="95">
        <v>85</v>
      </c>
      <c r="O43" s="69">
        <v>83</v>
      </c>
      <c r="P43" s="69">
        <v>86</v>
      </c>
      <c r="Q43" s="69">
        <v>91</v>
      </c>
      <c r="R43" s="69">
        <v>84</v>
      </c>
      <c r="S43" s="62">
        <f t="shared" si="0"/>
        <v>776</v>
      </c>
      <c r="T43" s="62">
        <f>IF(J43="","",AVERAGE(J43:R43))</f>
        <v>86.222222222222229</v>
      </c>
      <c r="U43" s="63"/>
      <c r="V43" s="63"/>
      <c r="W43" s="257"/>
    </row>
    <row r="44" spans="2:26" ht="29.25" customHeight="1" x14ac:dyDescent="0.25">
      <c r="B44" s="57"/>
      <c r="C44" s="58">
        <f>B42</f>
        <v>8</v>
      </c>
      <c r="D44" s="58"/>
      <c r="E44" s="58"/>
      <c r="F44" s="65"/>
      <c r="G44" s="66"/>
      <c r="H44" s="266" t="s">
        <v>161</v>
      </c>
      <c r="I44" s="267"/>
      <c r="J44" s="216">
        <f t="shared" ref="J44:R44" si="57">IFERROR(ROUND(AVERAGE(J42:J43),2),"")</f>
        <v>87.5</v>
      </c>
      <c r="K44" s="216">
        <f t="shared" si="57"/>
        <v>83.5</v>
      </c>
      <c r="L44" s="216">
        <f t="shared" si="57"/>
        <v>84</v>
      </c>
      <c r="M44" s="216">
        <f t="shared" si="57"/>
        <v>87</v>
      </c>
      <c r="N44" s="216">
        <f t="shared" si="57"/>
        <v>84</v>
      </c>
      <c r="O44" s="216">
        <f t="shared" si="57"/>
        <v>82</v>
      </c>
      <c r="P44" s="216">
        <f t="shared" si="57"/>
        <v>85</v>
      </c>
      <c r="Q44" s="216">
        <f t="shared" si="57"/>
        <v>89.5</v>
      </c>
      <c r="R44" s="216">
        <f t="shared" si="57"/>
        <v>83</v>
      </c>
      <c r="S44" s="216">
        <f t="shared" si="0"/>
        <v>765.5</v>
      </c>
      <c r="T44" s="216">
        <f>IFERROR(ROUND(AVERAGE(J44:R44),2),"")</f>
        <v>85.06</v>
      </c>
      <c r="U44" s="70"/>
      <c r="V44" s="70"/>
      <c r="W44" s="257"/>
      <c r="X44" s="55"/>
    </row>
    <row r="45" spans="2:26" s="77" customFormat="1" ht="19.5" customHeight="1" x14ac:dyDescent="0.2">
      <c r="B45" s="57"/>
      <c r="C45" s="58"/>
      <c r="D45" s="58"/>
      <c r="E45" s="58"/>
      <c r="F45" s="65"/>
      <c r="G45" s="66"/>
      <c r="H45" s="268" t="s">
        <v>162</v>
      </c>
      <c r="I45" s="269"/>
      <c r="J45" s="69">
        <v>86</v>
      </c>
      <c r="K45" s="69">
        <v>84</v>
      </c>
      <c r="L45" s="95">
        <v>83</v>
      </c>
      <c r="M45" s="95">
        <v>86</v>
      </c>
      <c r="N45" s="95">
        <v>86</v>
      </c>
      <c r="O45" s="69">
        <v>87</v>
      </c>
      <c r="P45" s="69">
        <v>88</v>
      </c>
      <c r="Q45" s="69">
        <v>88</v>
      </c>
      <c r="R45" s="69">
        <v>86</v>
      </c>
      <c r="S45" s="62">
        <f t="shared" si="0"/>
        <v>774</v>
      </c>
      <c r="T45" s="62">
        <f>IF(J45="","",AVERAGE(J45:R45))</f>
        <v>86</v>
      </c>
      <c r="U45" s="71"/>
      <c r="V45" s="71"/>
      <c r="W45" s="257"/>
    </row>
    <row r="46" spans="2:26" ht="36" customHeight="1" thickBot="1" x14ac:dyDescent="0.3">
      <c r="B46" s="72"/>
      <c r="C46" s="73"/>
      <c r="D46" s="73">
        <f>B42</f>
        <v>8</v>
      </c>
      <c r="E46" s="73"/>
      <c r="F46" s="74"/>
      <c r="G46" s="75"/>
      <c r="H46" s="264" t="s">
        <v>87</v>
      </c>
      <c r="I46" s="265"/>
      <c r="J46" s="127">
        <f>IFERROR(ROUND(((J44*$W$2)+(J45*$W$3))/100,2),"")</f>
        <v>86.6</v>
      </c>
      <c r="K46" s="127">
        <f t="shared" ref="K46" si="58">IFERROR(ROUND(((K44*$W$2)+(K45*$W$3))/100,2),"")</f>
        <v>83.8</v>
      </c>
      <c r="L46" s="127">
        <f t="shared" ref="L46" si="59">IFERROR(ROUND(((L44*$W$2)+(L45*$W$3))/100,2),"")</f>
        <v>83.4</v>
      </c>
      <c r="M46" s="127">
        <f t="shared" ref="M46" si="60">IFERROR(ROUND(((M44*$W$2)+(M45*$W$3))/100,2),"")</f>
        <v>86.4</v>
      </c>
      <c r="N46" s="127">
        <f t="shared" ref="N46" si="61">IFERROR(ROUND(((N44*$W$2)+(N45*$W$3))/100,2),"")</f>
        <v>85.2</v>
      </c>
      <c r="O46" s="127">
        <f t="shared" ref="O46" si="62">IFERROR(ROUND(((O44*$W$2)+(O45*$W$3))/100,2),"")</f>
        <v>85</v>
      </c>
      <c r="P46" s="127">
        <f t="shared" ref="P46" si="63">IFERROR(ROUND(((P44*$W$2)+(P45*$W$3))/100,2),"")</f>
        <v>86.8</v>
      </c>
      <c r="Q46" s="127">
        <f t="shared" ref="Q46" si="64">IFERROR(ROUND(((Q44*$W$2)+(Q45*$W$3))/100,2),"")</f>
        <v>88.6</v>
      </c>
      <c r="R46" s="127">
        <f t="shared" ref="R46" si="65">IFERROR(ROUND(((R44*$W$2)+(R45*$W$3))/100,2),"")</f>
        <v>84.8</v>
      </c>
      <c r="S46" s="127">
        <f t="shared" si="0"/>
        <v>770.59999999999991</v>
      </c>
      <c r="T46" s="127">
        <f>IFERROR(AVERAGE(J46:R46),"")</f>
        <v>85.622222222222206</v>
      </c>
      <c r="U46" s="76"/>
      <c r="V46" s="76"/>
      <c r="W46" s="258"/>
      <c r="X46" s="55"/>
      <c r="Z46" s="52">
        <f>IF(T46="","",T46)</f>
        <v>85.622222222222206</v>
      </c>
    </row>
    <row r="47" spans="2:26" s="77" customFormat="1" ht="19.5" customHeight="1" x14ac:dyDescent="0.3">
      <c r="B47" s="57">
        <f>IF('DATA SISWA &amp; SEK'!A12="","",'DATA SISWA &amp; SEK'!A12)</f>
        <v>9</v>
      </c>
      <c r="C47" s="58"/>
      <c r="D47" s="58"/>
      <c r="E47" s="58"/>
      <c r="F47" s="59"/>
      <c r="G47" s="60" t="str">
        <f>IF(B47="","",VLOOKUP(B47,'DATA SISWA &amp; SEK'!$A$4:$H$43,5,FALSE))</f>
        <v>FAIRUL RADITYA LUKMANSYAH</v>
      </c>
      <c r="H47" s="61" t="s">
        <v>167</v>
      </c>
      <c r="I47" s="68" t="s">
        <v>165</v>
      </c>
      <c r="J47" s="215">
        <v>92</v>
      </c>
      <c r="K47" s="215">
        <v>88</v>
      </c>
      <c r="L47" s="215">
        <v>93</v>
      </c>
      <c r="M47" s="215">
        <v>94</v>
      </c>
      <c r="N47" s="215">
        <v>85</v>
      </c>
      <c r="O47" s="215">
        <v>87</v>
      </c>
      <c r="P47" s="215">
        <v>91</v>
      </c>
      <c r="Q47" s="215">
        <v>86</v>
      </c>
      <c r="R47" s="215">
        <v>89</v>
      </c>
      <c r="S47" s="62">
        <f t="shared" ref="S47:S86" si="66">IF(J47="","",SUM(J47:R47))</f>
        <v>805</v>
      </c>
      <c r="T47" s="62">
        <f>IF(J47="","",AVERAGE(J47:R47))</f>
        <v>89.444444444444443</v>
      </c>
      <c r="U47" s="63"/>
      <c r="V47" s="63"/>
      <c r="W47" s="256">
        <f>IF(T51="","",RANK(Z51,$Z$11:$Z$206,0))</f>
        <v>10</v>
      </c>
    </row>
    <row r="48" spans="2:26" s="77" customFormat="1" ht="19.5" customHeight="1" x14ac:dyDescent="0.2">
      <c r="B48" s="57"/>
      <c r="C48" s="58"/>
      <c r="D48" s="58"/>
      <c r="E48" s="58"/>
      <c r="F48" s="65"/>
      <c r="G48" s="66"/>
      <c r="H48" s="67"/>
      <c r="I48" s="68" t="s">
        <v>164</v>
      </c>
      <c r="J48" s="69">
        <v>96</v>
      </c>
      <c r="K48" s="69">
        <v>83</v>
      </c>
      <c r="L48" s="95">
        <v>88</v>
      </c>
      <c r="M48" s="95">
        <v>86</v>
      </c>
      <c r="N48" s="95">
        <v>83</v>
      </c>
      <c r="O48" s="69">
        <v>87</v>
      </c>
      <c r="P48" s="69">
        <v>86</v>
      </c>
      <c r="Q48" s="69">
        <v>84</v>
      </c>
      <c r="R48" s="69">
        <v>86</v>
      </c>
      <c r="S48" s="62">
        <f t="shared" si="66"/>
        <v>779</v>
      </c>
      <c r="T48" s="62">
        <f>IF(J48="","",AVERAGE(J48:R48))</f>
        <v>86.555555555555557</v>
      </c>
      <c r="U48" s="63"/>
      <c r="V48" s="63"/>
      <c r="W48" s="257"/>
    </row>
    <row r="49" spans="2:26" ht="28.5" customHeight="1" x14ac:dyDescent="0.25">
      <c r="B49" s="57"/>
      <c r="C49" s="58">
        <f>B47</f>
        <v>9</v>
      </c>
      <c r="D49" s="58"/>
      <c r="E49" s="58"/>
      <c r="F49" s="65"/>
      <c r="G49" s="66"/>
      <c r="H49" s="266" t="s">
        <v>161</v>
      </c>
      <c r="I49" s="267"/>
      <c r="J49" s="216">
        <f t="shared" ref="J49:R49" si="67">IFERROR(ROUND(AVERAGE(J47:J48),2),"")</f>
        <v>94</v>
      </c>
      <c r="K49" s="216">
        <f t="shared" si="67"/>
        <v>85.5</v>
      </c>
      <c r="L49" s="216">
        <f t="shared" si="67"/>
        <v>90.5</v>
      </c>
      <c r="M49" s="216">
        <f t="shared" si="67"/>
        <v>90</v>
      </c>
      <c r="N49" s="216">
        <f t="shared" si="67"/>
        <v>84</v>
      </c>
      <c r="O49" s="216">
        <f t="shared" si="67"/>
        <v>87</v>
      </c>
      <c r="P49" s="216">
        <f t="shared" si="67"/>
        <v>88.5</v>
      </c>
      <c r="Q49" s="216">
        <f t="shared" si="67"/>
        <v>85</v>
      </c>
      <c r="R49" s="216">
        <f t="shared" si="67"/>
        <v>87.5</v>
      </c>
      <c r="S49" s="216">
        <f t="shared" si="66"/>
        <v>792</v>
      </c>
      <c r="T49" s="216">
        <f>IFERROR(ROUND(AVERAGE(J49:R49),2),"")</f>
        <v>88</v>
      </c>
      <c r="U49" s="70"/>
      <c r="V49" s="70"/>
      <c r="W49" s="257"/>
      <c r="X49" s="55"/>
    </row>
    <row r="50" spans="2:26" s="77" customFormat="1" ht="19.5" customHeight="1" x14ac:dyDescent="0.2">
      <c r="B50" s="57"/>
      <c r="C50" s="58"/>
      <c r="D50" s="58"/>
      <c r="E50" s="58"/>
      <c r="F50" s="65"/>
      <c r="G50" s="66"/>
      <c r="H50" s="268" t="s">
        <v>162</v>
      </c>
      <c r="I50" s="269"/>
      <c r="J50" s="69">
        <v>78</v>
      </c>
      <c r="K50" s="69">
        <v>85</v>
      </c>
      <c r="L50" s="95">
        <v>96</v>
      </c>
      <c r="M50" s="95">
        <v>75</v>
      </c>
      <c r="N50" s="95">
        <v>83</v>
      </c>
      <c r="O50" s="69">
        <v>82</v>
      </c>
      <c r="P50" s="69">
        <v>80</v>
      </c>
      <c r="Q50" s="69">
        <v>86</v>
      </c>
      <c r="R50" s="69">
        <v>89</v>
      </c>
      <c r="S50" s="62">
        <f t="shared" si="66"/>
        <v>754</v>
      </c>
      <c r="T50" s="62">
        <f>IF(J50="","",AVERAGE(J50:R50))</f>
        <v>83.777777777777771</v>
      </c>
      <c r="U50" s="71"/>
      <c r="V50" s="71"/>
      <c r="W50" s="257"/>
    </row>
    <row r="51" spans="2:26" ht="19.5" customHeight="1" thickBot="1" x14ac:dyDescent="0.3">
      <c r="B51" s="72"/>
      <c r="C51" s="73"/>
      <c r="D51" s="73">
        <f>B47</f>
        <v>9</v>
      </c>
      <c r="E51" s="73"/>
      <c r="F51" s="74"/>
      <c r="G51" s="75"/>
      <c r="H51" s="264" t="s">
        <v>87</v>
      </c>
      <c r="I51" s="265"/>
      <c r="J51" s="127">
        <f>IFERROR(ROUND(((J49*$W$2)+(J50*$W$3))/100,2),"")</f>
        <v>84.4</v>
      </c>
      <c r="K51" s="127">
        <f t="shared" ref="K51" si="68">IFERROR(ROUND(((K49*$W$2)+(K50*$W$3))/100,2),"")</f>
        <v>85.2</v>
      </c>
      <c r="L51" s="127">
        <f t="shared" ref="L51" si="69">IFERROR(ROUND(((L49*$W$2)+(L50*$W$3))/100,2),"")</f>
        <v>93.8</v>
      </c>
      <c r="M51" s="127">
        <f t="shared" ref="M51" si="70">IFERROR(ROUND(((M49*$W$2)+(M50*$W$3))/100,2),"")</f>
        <v>81</v>
      </c>
      <c r="N51" s="127">
        <f t="shared" ref="N51" si="71">IFERROR(ROUND(((N49*$W$2)+(N50*$W$3))/100,2),"")</f>
        <v>83.4</v>
      </c>
      <c r="O51" s="127">
        <f t="shared" ref="O51" si="72">IFERROR(ROUND(((O49*$W$2)+(O50*$W$3))/100,2),"")</f>
        <v>84</v>
      </c>
      <c r="P51" s="127">
        <f t="shared" ref="P51" si="73">IFERROR(ROUND(((P49*$W$2)+(P50*$W$3))/100,2),"")</f>
        <v>83.4</v>
      </c>
      <c r="Q51" s="127">
        <f t="shared" ref="Q51" si="74">IFERROR(ROUND(((Q49*$W$2)+(Q50*$W$3))/100,2),"")</f>
        <v>85.6</v>
      </c>
      <c r="R51" s="127">
        <f t="shared" ref="R51" si="75">IFERROR(ROUND(((R49*$W$2)+(R50*$W$3))/100,2),"")</f>
        <v>88.4</v>
      </c>
      <c r="S51" s="127">
        <f t="shared" si="66"/>
        <v>769.2</v>
      </c>
      <c r="T51" s="127">
        <f>IFERROR(AVERAGE(J51:R51),"")</f>
        <v>85.466666666666669</v>
      </c>
      <c r="U51" s="76"/>
      <c r="V51" s="76"/>
      <c r="W51" s="258"/>
      <c r="X51" s="55"/>
      <c r="Z51" s="52">
        <f>IF(T51="","",T51)</f>
        <v>85.466666666666669</v>
      </c>
    </row>
    <row r="52" spans="2:26" s="77" customFormat="1" ht="19.5" customHeight="1" x14ac:dyDescent="0.3">
      <c r="B52" s="57">
        <f>IF('DATA SISWA &amp; SEK'!A13="","",'DATA SISWA &amp; SEK'!A13)</f>
        <v>10</v>
      </c>
      <c r="C52" s="58"/>
      <c r="D52" s="58"/>
      <c r="E52" s="58"/>
      <c r="F52" s="59"/>
      <c r="G52" s="60" t="str">
        <f>IF(B52="","",VLOOKUP(B52,'DATA SISWA &amp; SEK'!$A$4:$H$43,5,FALSE))</f>
        <v>FAJAR RIAN ASMORO</v>
      </c>
      <c r="H52" s="61" t="s">
        <v>167</v>
      </c>
      <c r="I52" s="68" t="s">
        <v>165</v>
      </c>
      <c r="J52" s="215">
        <v>91</v>
      </c>
      <c r="K52" s="215">
        <v>86</v>
      </c>
      <c r="L52" s="215">
        <v>92</v>
      </c>
      <c r="M52" s="215">
        <v>93</v>
      </c>
      <c r="N52" s="215">
        <v>87</v>
      </c>
      <c r="O52" s="215">
        <v>86</v>
      </c>
      <c r="P52" s="215">
        <v>88</v>
      </c>
      <c r="Q52" s="215">
        <v>88</v>
      </c>
      <c r="R52" s="215">
        <v>87</v>
      </c>
      <c r="S52" s="62">
        <f t="shared" si="66"/>
        <v>798</v>
      </c>
      <c r="T52" s="62">
        <f>IF(J52="","",AVERAGE(J52:R52))</f>
        <v>88.666666666666671</v>
      </c>
      <c r="U52" s="63"/>
      <c r="V52" s="63"/>
      <c r="W52" s="256">
        <f>IF(T56="","",RANK(Z56,$Z$11:$Z$206,0))</f>
        <v>13</v>
      </c>
    </row>
    <row r="53" spans="2:26" s="77" customFormat="1" ht="19.5" customHeight="1" x14ac:dyDescent="0.2">
      <c r="B53" s="57"/>
      <c r="C53" s="58"/>
      <c r="D53" s="58"/>
      <c r="E53" s="58"/>
      <c r="F53" s="65"/>
      <c r="G53" s="66"/>
      <c r="H53" s="67"/>
      <c r="I53" s="68" t="s">
        <v>164</v>
      </c>
      <c r="J53" s="69">
        <v>95</v>
      </c>
      <c r="K53" s="69">
        <v>83</v>
      </c>
      <c r="L53" s="95">
        <v>86</v>
      </c>
      <c r="M53" s="95">
        <v>82</v>
      </c>
      <c r="N53" s="95">
        <v>80</v>
      </c>
      <c r="O53" s="69">
        <v>85</v>
      </c>
      <c r="P53" s="69">
        <v>85</v>
      </c>
      <c r="Q53" s="69">
        <v>87</v>
      </c>
      <c r="R53" s="69">
        <v>85</v>
      </c>
      <c r="S53" s="62">
        <f t="shared" si="66"/>
        <v>768</v>
      </c>
      <c r="T53" s="62">
        <f>IF(J53="","",AVERAGE(J53:R53))</f>
        <v>85.333333333333329</v>
      </c>
      <c r="U53" s="63"/>
      <c r="V53" s="63"/>
      <c r="W53" s="257"/>
    </row>
    <row r="54" spans="2:26" ht="31.5" customHeight="1" x14ac:dyDescent="0.25">
      <c r="B54" s="57"/>
      <c r="C54" s="58">
        <f>B52</f>
        <v>10</v>
      </c>
      <c r="D54" s="58"/>
      <c r="E54" s="58"/>
      <c r="F54" s="65"/>
      <c r="G54" s="66"/>
      <c r="H54" s="266" t="s">
        <v>161</v>
      </c>
      <c r="I54" s="267"/>
      <c r="J54" s="216">
        <f t="shared" ref="J54:R54" si="76">IFERROR(ROUND(AVERAGE(J52:J53),2),"")</f>
        <v>93</v>
      </c>
      <c r="K54" s="216">
        <f t="shared" si="76"/>
        <v>84.5</v>
      </c>
      <c r="L54" s="216">
        <f t="shared" si="76"/>
        <v>89</v>
      </c>
      <c r="M54" s="216">
        <f t="shared" si="76"/>
        <v>87.5</v>
      </c>
      <c r="N54" s="216">
        <f t="shared" si="76"/>
        <v>83.5</v>
      </c>
      <c r="O54" s="216">
        <f t="shared" si="76"/>
        <v>85.5</v>
      </c>
      <c r="P54" s="216">
        <f t="shared" si="76"/>
        <v>86.5</v>
      </c>
      <c r="Q54" s="216">
        <f t="shared" si="76"/>
        <v>87.5</v>
      </c>
      <c r="R54" s="216">
        <f t="shared" si="76"/>
        <v>86</v>
      </c>
      <c r="S54" s="216">
        <f t="shared" si="66"/>
        <v>783</v>
      </c>
      <c r="T54" s="216">
        <f>IFERROR(ROUND(AVERAGE(J54:R54),2),"")</f>
        <v>87</v>
      </c>
      <c r="U54" s="70"/>
      <c r="V54" s="70"/>
      <c r="W54" s="257"/>
      <c r="X54" s="55"/>
    </row>
    <row r="55" spans="2:26" s="77" customFormat="1" ht="19.5" customHeight="1" x14ac:dyDescent="0.2">
      <c r="B55" s="57"/>
      <c r="C55" s="58"/>
      <c r="D55" s="58"/>
      <c r="E55" s="58"/>
      <c r="F55" s="65"/>
      <c r="G55" s="66"/>
      <c r="H55" s="268" t="s">
        <v>162</v>
      </c>
      <c r="I55" s="269"/>
      <c r="J55" s="69">
        <v>78</v>
      </c>
      <c r="K55" s="69">
        <v>78</v>
      </c>
      <c r="L55" s="95">
        <v>83</v>
      </c>
      <c r="M55" s="95">
        <v>76</v>
      </c>
      <c r="N55" s="95">
        <v>86</v>
      </c>
      <c r="O55" s="69">
        <v>82</v>
      </c>
      <c r="P55" s="69">
        <v>80</v>
      </c>
      <c r="Q55" s="69">
        <v>88</v>
      </c>
      <c r="R55" s="69">
        <v>87</v>
      </c>
      <c r="S55" s="62">
        <f t="shared" si="66"/>
        <v>738</v>
      </c>
      <c r="T55" s="62">
        <f>IF(J55="","",AVERAGE(J55:R55))</f>
        <v>82</v>
      </c>
      <c r="U55" s="71"/>
      <c r="V55" s="71"/>
      <c r="W55" s="257"/>
    </row>
    <row r="56" spans="2:26" ht="37.5" customHeight="1" thickBot="1" x14ac:dyDescent="0.3">
      <c r="B56" s="72"/>
      <c r="C56" s="73"/>
      <c r="D56" s="73">
        <f>B52</f>
        <v>10</v>
      </c>
      <c r="E56" s="73"/>
      <c r="F56" s="74"/>
      <c r="G56" s="75"/>
      <c r="H56" s="264" t="s">
        <v>87</v>
      </c>
      <c r="I56" s="265"/>
      <c r="J56" s="127">
        <f>IFERROR(ROUND(((J54*$W$2)+(J55*$W$3))/100,2),"")</f>
        <v>84</v>
      </c>
      <c r="K56" s="127">
        <f t="shared" ref="K56" si="77">IFERROR(ROUND(((K54*$W$2)+(K55*$W$3))/100,2),"")</f>
        <v>80.599999999999994</v>
      </c>
      <c r="L56" s="127">
        <f t="shared" ref="L56" si="78">IFERROR(ROUND(((L54*$W$2)+(L55*$W$3))/100,2),"")</f>
        <v>85.4</v>
      </c>
      <c r="M56" s="127">
        <f t="shared" ref="M56" si="79">IFERROR(ROUND(((M54*$W$2)+(M55*$W$3))/100,2),"")</f>
        <v>80.599999999999994</v>
      </c>
      <c r="N56" s="127">
        <f t="shared" ref="N56" si="80">IFERROR(ROUND(((N54*$W$2)+(N55*$W$3))/100,2),"")</f>
        <v>85</v>
      </c>
      <c r="O56" s="127">
        <f t="shared" ref="O56" si="81">IFERROR(ROUND(((O54*$W$2)+(O55*$W$3))/100,2),"")</f>
        <v>83.4</v>
      </c>
      <c r="P56" s="127">
        <f t="shared" ref="P56" si="82">IFERROR(ROUND(((P54*$W$2)+(P55*$W$3))/100,2),"")</f>
        <v>82.6</v>
      </c>
      <c r="Q56" s="127">
        <f t="shared" ref="Q56" si="83">IFERROR(ROUND(((Q54*$W$2)+(Q55*$W$3))/100,2),"")</f>
        <v>87.8</v>
      </c>
      <c r="R56" s="127">
        <f t="shared" ref="R56" si="84">IFERROR(ROUND(((R54*$W$2)+(R55*$W$3))/100,2),"")</f>
        <v>86.6</v>
      </c>
      <c r="S56" s="127">
        <f t="shared" si="66"/>
        <v>756</v>
      </c>
      <c r="T56" s="127">
        <f>IFERROR(AVERAGE(J56:R56),"")</f>
        <v>84</v>
      </c>
      <c r="U56" s="76"/>
      <c r="V56" s="76"/>
      <c r="W56" s="258"/>
      <c r="X56" s="55"/>
      <c r="Z56" s="52">
        <f>IF(T56="","",T56)</f>
        <v>84</v>
      </c>
    </row>
    <row r="57" spans="2:26" ht="19.5" customHeight="1" x14ac:dyDescent="0.3">
      <c r="B57" s="57">
        <f>IF('DATA SISWA &amp; SEK'!A14="","",'DATA SISWA &amp; SEK'!A14)</f>
        <v>11</v>
      </c>
      <c r="C57" s="58"/>
      <c r="D57" s="58"/>
      <c r="E57" s="58"/>
      <c r="F57" s="59"/>
      <c r="G57" s="60" t="str">
        <f>IF(B57="","",VLOOKUP(B57,'DATA SISWA &amp; SEK'!$A$4:$H$43,5,FALSE))</f>
        <v>NAJWA CHEIYLA YOSIANA FAIZAH ZAHRA</v>
      </c>
      <c r="H57" s="61" t="s">
        <v>167</v>
      </c>
      <c r="I57" s="68" t="s">
        <v>165</v>
      </c>
      <c r="J57" s="215">
        <v>88</v>
      </c>
      <c r="K57" s="215">
        <v>86</v>
      </c>
      <c r="L57" s="215">
        <v>87</v>
      </c>
      <c r="M57" s="215">
        <v>83</v>
      </c>
      <c r="N57" s="215">
        <v>87</v>
      </c>
      <c r="O57" s="215">
        <v>86</v>
      </c>
      <c r="P57" s="215">
        <v>86</v>
      </c>
      <c r="Q57" s="215">
        <v>87</v>
      </c>
      <c r="R57" s="215">
        <v>82</v>
      </c>
      <c r="S57" s="62">
        <f t="shared" si="66"/>
        <v>772</v>
      </c>
      <c r="T57" s="62">
        <f>IF(J57="","",AVERAGE(J57:R57))</f>
        <v>85.777777777777771</v>
      </c>
      <c r="U57" s="63"/>
      <c r="V57" s="63"/>
      <c r="W57" s="256">
        <f>IF(T61="","",RANK(Z61,$Z$11:$Z$206,0))</f>
        <v>12</v>
      </c>
    </row>
    <row r="58" spans="2:26" ht="17.25" customHeight="1" x14ac:dyDescent="0.25">
      <c r="B58" s="57"/>
      <c r="C58" s="58"/>
      <c r="D58" s="58"/>
      <c r="E58" s="58"/>
      <c r="F58" s="65"/>
      <c r="G58" s="66"/>
      <c r="H58" s="67"/>
      <c r="I58" s="68" t="s">
        <v>164</v>
      </c>
      <c r="J58" s="69">
        <v>90</v>
      </c>
      <c r="K58" s="69">
        <v>86</v>
      </c>
      <c r="L58" s="95">
        <v>84</v>
      </c>
      <c r="M58" s="95">
        <v>85</v>
      </c>
      <c r="N58" s="95">
        <v>80</v>
      </c>
      <c r="O58" s="69">
        <v>87</v>
      </c>
      <c r="P58" s="69">
        <v>87</v>
      </c>
      <c r="Q58" s="69">
        <v>86</v>
      </c>
      <c r="R58" s="69">
        <v>81</v>
      </c>
      <c r="S58" s="62">
        <f t="shared" si="66"/>
        <v>766</v>
      </c>
      <c r="T58" s="62">
        <f>IF(J58="","",AVERAGE(J58:R58))</f>
        <v>85.111111111111114</v>
      </c>
      <c r="U58" s="63"/>
      <c r="V58" s="63"/>
      <c r="W58" s="257"/>
    </row>
    <row r="59" spans="2:26" ht="21.75" customHeight="1" x14ac:dyDescent="0.25">
      <c r="B59" s="57"/>
      <c r="C59" s="58">
        <f>B57</f>
        <v>11</v>
      </c>
      <c r="D59" s="58"/>
      <c r="E59" s="58"/>
      <c r="F59" s="65"/>
      <c r="G59" s="66"/>
      <c r="H59" s="266" t="s">
        <v>161</v>
      </c>
      <c r="I59" s="267"/>
      <c r="J59" s="216">
        <f t="shared" ref="J59:R59" si="85">IFERROR(ROUND(AVERAGE(J57:J58),2),"")</f>
        <v>89</v>
      </c>
      <c r="K59" s="216">
        <f t="shared" si="85"/>
        <v>86</v>
      </c>
      <c r="L59" s="216">
        <f t="shared" si="85"/>
        <v>85.5</v>
      </c>
      <c r="M59" s="216">
        <f t="shared" si="85"/>
        <v>84</v>
      </c>
      <c r="N59" s="216">
        <f t="shared" si="85"/>
        <v>83.5</v>
      </c>
      <c r="O59" s="216">
        <f t="shared" si="85"/>
        <v>86.5</v>
      </c>
      <c r="P59" s="216">
        <f t="shared" si="85"/>
        <v>86.5</v>
      </c>
      <c r="Q59" s="216">
        <f t="shared" si="85"/>
        <v>86.5</v>
      </c>
      <c r="R59" s="216">
        <f t="shared" si="85"/>
        <v>81.5</v>
      </c>
      <c r="S59" s="216">
        <f t="shared" si="66"/>
        <v>769</v>
      </c>
      <c r="T59" s="216">
        <f>IFERROR(ROUND(AVERAGE(J59:R59),2),"")</f>
        <v>85.44</v>
      </c>
      <c r="U59" s="70"/>
      <c r="V59" s="70"/>
      <c r="W59" s="257"/>
      <c r="X59" s="55"/>
    </row>
    <row r="60" spans="2:26" ht="19.5" customHeight="1" x14ac:dyDescent="0.25">
      <c r="B60" s="57"/>
      <c r="C60" s="58"/>
      <c r="D60" s="58"/>
      <c r="E60" s="58"/>
      <c r="F60" s="65"/>
      <c r="G60" s="66"/>
      <c r="H60" s="268" t="s">
        <v>162</v>
      </c>
      <c r="I60" s="269"/>
      <c r="J60" s="69">
        <v>84</v>
      </c>
      <c r="K60" s="69">
        <v>83</v>
      </c>
      <c r="L60" s="95">
        <v>89</v>
      </c>
      <c r="M60" s="95">
        <v>79</v>
      </c>
      <c r="N60" s="95">
        <v>79</v>
      </c>
      <c r="O60" s="69">
        <v>95</v>
      </c>
      <c r="P60" s="69">
        <v>85</v>
      </c>
      <c r="Q60" s="69">
        <v>87</v>
      </c>
      <c r="R60" s="69">
        <v>82</v>
      </c>
      <c r="S60" s="62">
        <f t="shared" si="66"/>
        <v>763</v>
      </c>
      <c r="T60" s="62">
        <f>IF(J60="","",AVERAGE(J60:R60))</f>
        <v>84.777777777777771</v>
      </c>
      <c r="U60" s="71"/>
      <c r="V60" s="71"/>
      <c r="W60" s="257"/>
    </row>
    <row r="61" spans="2:26" ht="19.5" customHeight="1" thickBot="1" x14ac:dyDescent="0.3">
      <c r="B61" s="72"/>
      <c r="C61" s="73"/>
      <c r="D61" s="73">
        <f>B57</f>
        <v>11</v>
      </c>
      <c r="E61" s="73"/>
      <c r="F61" s="74"/>
      <c r="G61" s="75"/>
      <c r="H61" s="264" t="s">
        <v>87</v>
      </c>
      <c r="I61" s="265"/>
      <c r="J61" s="127">
        <f>IFERROR(ROUND(((J59*$W$2)+(J60*$W$3))/100,2),"")</f>
        <v>86</v>
      </c>
      <c r="K61" s="127">
        <f t="shared" ref="K61" si="86">IFERROR(ROUND(((K59*$W$2)+(K60*$W$3))/100,2),"")</f>
        <v>84.2</v>
      </c>
      <c r="L61" s="127">
        <f t="shared" ref="L61" si="87">IFERROR(ROUND(((L59*$W$2)+(L60*$W$3))/100,2),"")</f>
        <v>87.6</v>
      </c>
      <c r="M61" s="127">
        <f t="shared" ref="M61" si="88">IFERROR(ROUND(((M59*$W$2)+(M60*$W$3))/100,2),"")</f>
        <v>81</v>
      </c>
      <c r="N61" s="127">
        <f t="shared" ref="N61" si="89">IFERROR(ROUND(((N59*$W$2)+(N60*$W$3))/100,2),"")</f>
        <v>80.8</v>
      </c>
      <c r="O61" s="127">
        <f t="shared" ref="O61" si="90">IFERROR(ROUND(((O59*$W$2)+(O60*$W$3))/100,2),"")</f>
        <v>91.6</v>
      </c>
      <c r="P61" s="127">
        <f t="shared" ref="P61" si="91">IFERROR(ROUND(((P59*$W$2)+(P60*$W$3))/100,2),"")</f>
        <v>85.6</v>
      </c>
      <c r="Q61" s="127">
        <f t="shared" ref="Q61" si="92">IFERROR(ROUND(((Q59*$W$2)+(Q60*$W$3))/100,2),"")</f>
        <v>86.8</v>
      </c>
      <c r="R61" s="127">
        <f t="shared" ref="R61" si="93">IFERROR(ROUND(((R59*$W$2)+(R60*$W$3))/100,2),"")</f>
        <v>81.8</v>
      </c>
      <c r="S61" s="127">
        <f t="shared" si="66"/>
        <v>765.39999999999986</v>
      </c>
      <c r="T61" s="127">
        <f>IFERROR(AVERAGE(J61:R61),"")</f>
        <v>85.044444444444423</v>
      </c>
      <c r="U61" s="76"/>
      <c r="V61" s="76"/>
      <c r="W61" s="258"/>
      <c r="X61" s="55"/>
      <c r="Z61" s="52">
        <f>IF(T61="","",T61)</f>
        <v>85.044444444444423</v>
      </c>
    </row>
    <row r="62" spans="2:26" ht="15" customHeight="1" x14ac:dyDescent="0.3">
      <c r="B62" s="57">
        <f>IF('DATA SISWA &amp; SEK'!A15="","",'DATA SISWA &amp; SEK'!A15)</f>
        <v>12</v>
      </c>
      <c r="C62" s="58"/>
      <c r="D62" s="58"/>
      <c r="E62" s="58"/>
      <c r="F62" s="59"/>
      <c r="G62" s="60" t="str">
        <f>IF(B62="","",VLOOKUP(B62,'DATA SISWA &amp; SEK'!$A$4:$H$43,5,FALSE))</f>
        <v>NAJWAN HAFIZH PRATAMA</v>
      </c>
      <c r="H62" s="61" t="s">
        <v>167</v>
      </c>
      <c r="I62" s="68" t="s">
        <v>165</v>
      </c>
      <c r="J62" s="69">
        <v>83</v>
      </c>
      <c r="K62" s="69">
        <v>82</v>
      </c>
      <c r="L62" s="95">
        <v>81</v>
      </c>
      <c r="M62" s="95">
        <v>81</v>
      </c>
      <c r="N62" s="95">
        <v>83</v>
      </c>
      <c r="O62" s="69">
        <v>81</v>
      </c>
      <c r="P62" s="69">
        <v>83</v>
      </c>
      <c r="Q62" s="69">
        <v>87</v>
      </c>
      <c r="R62" s="69">
        <v>80</v>
      </c>
      <c r="S62" s="62">
        <f t="shared" si="66"/>
        <v>741</v>
      </c>
      <c r="T62" s="62">
        <f>IF(J62="","",AVERAGE(J62:R62))</f>
        <v>82.333333333333329</v>
      </c>
      <c r="U62" s="63"/>
      <c r="V62" s="63"/>
      <c r="W62" s="256">
        <f>IF(T66="","",RANK(Z66,$Z$11:$Z$206,0))</f>
        <v>14</v>
      </c>
    </row>
    <row r="63" spans="2:26" ht="15" customHeight="1" x14ac:dyDescent="0.25">
      <c r="B63" s="57"/>
      <c r="C63" s="58"/>
      <c r="D63" s="58"/>
      <c r="E63" s="58"/>
      <c r="F63" s="65"/>
      <c r="G63" s="66"/>
      <c r="H63" s="67"/>
      <c r="I63" s="68" t="s">
        <v>164</v>
      </c>
      <c r="J63" s="69">
        <v>86</v>
      </c>
      <c r="K63" s="69">
        <v>79</v>
      </c>
      <c r="L63" s="95">
        <v>79</v>
      </c>
      <c r="M63" s="95">
        <v>77</v>
      </c>
      <c r="N63" s="95">
        <v>78</v>
      </c>
      <c r="O63" s="69">
        <v>79</v>
      </c>
      <c r="P63" s="69">
        <v>83</v>
      </c>
      <c r="Q63" s="69">
        <v>86</v>
      </c>
      <c r="R63" s="69">
        <v>79</v>
      </c>
      <c r="S63" s="62">
        <f t="shared" si="66"/>
        <v>726</v>
      </c>
      <c r="T63" s="62">
        <f>IF(J63="","",AVERAGE(J63:R63))</f>
        <v>80.666666666666671</v>
      </c>
      <c r="U63" s="63"/>
      <c r="V63" s="63"/>
      <c r="W63" s="257"/>
    </row>
    <row r="64" spans="2:26" ht="15" customHeight="1" x14ac:dyDescent="0.25">
      <c r="B64" s="57"/>
      <c r="C64" s="58">
        <f>B62</f>
        <v>12</v>
      </c>
      <c r="D64" s="58"/>
      <c r="E64" s="58"/>
      <c r="F64" s="65"/>
      <c r="G64" s="66"/>
      <c r="H64" s="266" t="s">
        <v>161</v>
      </c>
      <c r="I64" s="267"/>
      <c r="J64" s="216">
        <f t="shared" ref="J64:R64" si="94">IFERROR(ROUND(AVERAGE(J62:J63),2),"")</f>
        <v>84.5</v>
      </c>
      <c r="K64" s="216">
        <f t="shared" si="94"/>
        <v>80.5</v>
      </c>
      <c r="L64" s="216">
        <f t="shared" si="94"/>
        <v>80</v>
      </c>
      <c r="M64" s="216">
        <f t="shared" si="94"/>
        <v>79</v>
      </c>
      <c r="N64" s="216">
        <f t="shared" si="94"/>
        <v>80.5</v>
      </c>
      <c r="O64" s="216">
        <f t="shared" si="94"/>
        <v>80</v>
      </c>
      <c r="P64" s="216">
        <f t="shared" si="94"/>
        <v>83</v>
      </c>
      <c r="Q64" s="216">
        <f t="shared" si="94"/>
        <v>86.5</v>
      </c>
      <c r="R64" s="216">
        <f t="shared" si="94"/>
        <v>79.5</v>
      </c>
      <c r="S64" s="216">
        <f t="shared" si="66"/>
        <v>733.5</v>
      </c>
      <c r="T64" s="216">
        <f>IFERROR(ROUND(AVERAGE(J64:R64),2),"")</f>
        <v>81.5</v>
      </c>
      <c r="U64" s="70"/>
      <c r="V64" s="70"/>
      <c r="W64" s="257"/>
      <c r="X64" s="55"/>
    </row>
    <row r="65" spans="2:28" ht="15" customHeight="1" x14ac:dyDescent="0.25">
      <c r="B65" s="57"/>
      <c r="C65" s="58"/>
      <c r="D65" s="58"/>
      <c r="E65" s="58"/>
      <c r="F65" s="65"/>
      <c r="G65" s="66"/>
      <c r="H65" s="268" t="s">
        <v>162</v>
      </c>
      <c r="I65" s="269"/>
      <c r="J65" s="69">
        <v>80</v>
      </c>
      <c r="K65" s="69">
        <v>79</v>
      </c>
      <c r="L65" s="95">
        <v>83</v>
      </c>
      <c r="M65" s="95">
        <v>89</v>
      </c>
      <c r="N65" s="95">
        <v>79</v>
      </c>
      <c r="O65" s="69">
        <v>79</v>
      </c>
      <c r="P65" s="69">
        <v>84</v>
      </c>
      <c r="Q65" s="69">
        <v>91</v>
      </c>
      <c r="R65" s="69">
        <v>84</v>
      </c>
      <c r="S65" s="62">
        <f t="shared" si="66"/>
        <v>748</v>
      </c>
      <c r="T65" s="62">
        <f>IF(J65="","",AVERAGE(J65:R65))</f>
        <v>83.111111111111114</v>
      </c>
      <c r="U65" s="71"/>
      <c r="V65" s="71"/>
      <c r="W65" s="257"/>
    </row>
    <row r="66" spans="2:28" ht="18.75" customHeight="1" thickBot="1" x14ac:dyDescent="0.3">
      <c r="B66" s="72"/>
      <c r="C66" s="73"/>
      <c r="D66" s="73">
        <f>B62</f>
        <v>12</v>
      </c>
      <c r="E66" s="73"/>
      <c r="F66" s="74"/>
      <c r="G66" s="75"/>
      <c r="H66" s="264" t="s">
        <v>87</v>
      </c>
      <c r="I66" s="265"/>
      <c r="J66" s="127">
        <f>IFERROR(ROUND(((J64*$W$2)+(J65*$W$3))/100,2),"")</f>
        <v>81.8</v>
      </c>
      <c r="K66" s="127">
        <f t="shared" ref="K66" si="95">IFERROR(ROUND(((K64*$W$2)+(K65*$W$3))/100,2),"")</f>
        <v>79.599999999999994</v>
      </c>
      <c r="L66" s="127">
        <f t="shared" ref="L66" si="96">IFERROR(ROUND(((L64*$W$2)+(L65*$W$3))/100,2),"")</f>
        <v>81.8</v>
      </c>
      <c r="M66" s="127">
        <f t="shared" ref="M66" si="97">IFERROR(ROUND(((M64*$W$2)+(M65*$W$3))/100,2),"")</f>
        <v>85</v>
      </c>
      <c r="N66" s="127">
        <f t="shared" ref="N66" si="98">IFERROR(ROUND(((N64*$W$2)+(N65*$W$3))/100,2),"")</f>
        <v>79.599999999999994</v>
      </c>
      <c r="O66" s="127">
        <f t="shared" ref="O66" si="99">IFERROR(ROUND(((O64*$W$2)+(O65*$W$3))/100,2),"")</f>
        <v>79.400000000000006</v>
      </c>
      <c r="P66" s="127">
        <f t="shared" ref="P66" si="100">IFERROR(ROUND(((P64*$W$2)+(P65*$W$3))/100,2),"")</f>
        <v>83.6</v>
      </c>
      <c r="Q66" s="127">
        <f t="shared" ref="Q66" si="101">IFERROR(ROUND(((Q64*$W$2)+(Q65*$W$3))/100,2),"")</f>
        <v>89.2</v>
      </c>
      <c r="R66" s="127">
        <f t="shared" ref="R66" si="102">IFERROR(ROUND(((R64*$W$2)+(R65*$W$3))/100,2),"")</f>
        <v>82.2</v>
      </c>
      <c r="S66" s="127">
        <f t="shared" si="66"/>
        <v>742.2</v>
      </c>
      <c r="T66" s="127">
        <f>IFERROR(AVERAGE(J66:R66),"")</f>
        <v>82.466666666666669</v>
      </c>
      <c r="U66" s="76"/>
      <c r="V66" s="76"/>
      <c r="W66" s="258"/>
      <c r="X66" s="55"/>
      <c r="Z66" s="52">
        <f>IF(T66="","",T66)</f>
        <v>82.466666666666669</v>
      </c>
    </row>
    <row r="67" spans="2:28" ht="19.5" customHeight="1" x14ac:dyDescent="0.3">
      <c r="B67" s="57">
        <f>IF('DATA SISWA &amp; SEK'!A16="","",'DATA SISWA &amp; SEK'!A16)</f>
        <v>13</v>
      </c>
      <c r="C67" s="58"/>
      <c r="D67" s="58"/>
      <c r="E67" s="58"/>
      <c r="F67" s="59"/>
      <c r="G67" s="60" t="str">
        <f>IF(B67="","",VLOOKUP(B67,'DATA SISWA &amp; SEK'!$A$4:$H$43,5,FALSE))</f>
        <v>NIKEN PUSPITA SARI</v>
      </c>
      <c r="H67" s="61" t="s">
        <v>167</v>
      </c>
      <c r="I67" s="68" t="s">
        <v>165</v>
      </c>
      <c r="J67" s="69">
        <v>89</v>
      </c>
      <c r="K67" s="69">
        <v>87</v>
      </c>
      <c r="L67" s="95">
        <v>90</v>
      </c>
      <c r="M67" s="95">
        <v>88</v>
      </c>
      <c r="N67" s="95">
        <v>81</v>
      </c>
      <c r="O67" s="69">
        <v>85</v>
      </c>
      <c r="P67" s="69">
        <v>87</v>
      </c>
      <c r="Q67" s="69">
        <v>86</v>
      </c>
      <c r="R67" s="69">
        <v>86</v>
      </c>
      <c r="S67" s="62">
        <f t="shared" si="66"/>
        <v>779</v>
      </c>
      <c r="T67" s="62">
        <f>IF(J67="","",AVERAGE(J67:R67))</f>
        <v>86.555555555555557</v>
      </c>
      <c r="U67" s="63"/>
      <c r="V67" s="63"/>
      <c r="W67" s="256">
        <f>IF(T71="","",RANK(Z71,$Z$11:$Z$206,0))</f>
        <v>8</v>
      </c>
    </row>
    <row r="68" spans="2:28" ht="19.5" customHeight="1" x14ac:dyDescent="0.25">
      <c r="B68" s="57"/>
      <c r="C68" s="58"/>
      <c r="D68" s="58"/>
      <c r="E68" s="58"/>
      <c r="F68" s="65"/>
      <c r="G68" s="66"/>
      <c r="H68" s="67"/>
      <c r="I68" s="68" t="s">
        <v>164</v>
      </c>
      <c r="J68" s="69">
        <v>91</v>
      </c>
      <c r="K68" s="69">
        <v>82</v>
      </c>
      <c r="L68" s="95">
        <v>87</v>
      </c>
      <c r="M68" s="95">
        <v>84</v>
      </c>
      <c r="N68" s="95">
        <v>84</v>
      </c>
      <c r="O68" s="69">
        <v>84</v>
      </c>
      <c r="P68" s="69">
        <v>86</v>
      </c>
      <c r="Q68" s="69">
        <v>84</v>
      </c>
      <c r="R68" s="69">
        <v>85</v>
      </c>
      <c r="S68" s="62">
        <f t="shared" si="66"/>
        <v>767</v>
      </c>
      <c r="T68" s="62">
        <f>IF(J68="","",AVERAGE(J68:R68))</f>
        <v>85.222222222222229</v>
      </c>
      <c r="U68" s="63"/>
      <c r="V68" s="63"/>
      <c r="W68" s="257"/>
    </row>
    <row r="69" spans="2:28" ht="32.25" customHeight="1" x14ac:dyDescent="0.25">
      <c r="B69" s="57"/>
      <c r="C69" s="58">
        <f>B67</f>
        <v>13</v>
      </c>
      <c r="D69" s="58"/>
      <c r="E69" s="58"/>
      <c r="F69" s="65"/>
      <c r="G69" s="66"/>
      <c r="H69" s="266" t="s">
        <v>161</v>
      </c>
      <c r="I69" s="267"/>
      <c r="J69" s="216">
        <f t="shared" ref="J69:R69" si="103">IFERROR(ROUND(AVERAGE(J67:J68),2),"")</f>
        <v>90</v>
      </c>
      <c r="K69" s="216">
        <f t="shared" si="103"/>
        <v>84.5</v>
      </c>
      <c r="L69" s="216">
        <f t="shared" si="103"/>
        <v>88.5</v>
      </c>
      <c r="M69" s="216">
        <f t="shared" si="103"/>
        <v>86</v>
      </c>
      <c r="N69" s="216">
        <f t="shared" si="103"/>
        <v>82.5</v>
      </c>
      <c r="O69" s="216">
        <f t="shared" si="103"/>
        <v>84.5</v>
      </c>
      <c r="P69" s="216">
        <f t="shared" si="103"/>
        <v>86.5</v>
      </c>
      <c r="Q69" s="216">
        <f t="shared" si="103"/>
        <v>85</v>
      </c>
      <c r="R69" s="216">
        <f t="shared" si="103"/>
        <v>85.5</v>
      </c>
      <c r="S69" s="216">
        <f t="shared" si="66"/>
        <v>773</v>
      </c>
      <c r="T69" s="216">
        <f>IFERROR(ROUND(AVERAGE(J69:R69),2),"")</f>
        <v>85.89</v>
      </c>
      <c r="U69" s="70"/>
      <c r="V69" s="70"/>
      <c r="W69" s="257"/>
      <c r="X69" s="55"/>
    </row>
    <row r="70" spans="2:28" ht="19.5" customHeight="1" x14ac:dyDescent="0.25">
      <c r="B70" s="57"/>
      <c r="C70" s="58"/>
      <c r="D70" s="58"/>
      <c r="E70" s="58"/>
      <c r="F70" s="65"/>
      <c r="G70" s="66"/>
      <c r="H70" s="268" t="s">
        <v>162</v>
      </c>
      <c r="I70" s="269"/>
      <c r="J70" s="69">
        <v>82</v>
      </c>
      <c r="K70" s="69">
        <v>92</v>
      </c>
      <c r="L70" s="95">
        <v>95</v>
      </c>
      <c r="M70" s="95">
        <v>83</v>
      </c>
      <c r="N70" s="95">
        <v>79</v>
      </c>
      <c r="O70" s="69">
        <v>94</v>
      </c>
      <c r="P70" s="69">
        <v>84</v>
      </c>
      <c r="Q70" s="69">
        <v>90</v>
      </c>
      <c r="R70" s="69">
        <v>90</v>
      </c>
      <c r="S70" s="62">
        <f t="shared" si="66"/>
        <v>789</v>
      </c>
      <c r="T70" s="62">
        <f>IF(J70="","",AVERAGE(J70:R70))</f>
        <v>87.666666666666671</v>
      </c>
      <c r="U70" s="71"/>
      <c r="V70" s="71"/>
      <c r="W70" s="257"/>
    </row>
    <row r="71" spans="2:28" ht="19.5" customHeight="1" thickBot="1" x14ac:dyDescent="0.3">
      <c r="B71" s="72"/>
      <c r="C71" s="73"/>
      <c r="D71" s="73">
        <f>B67</f>
        <v>13</v>
      </c>
      <c r="E71" s="73"/>
      <c r="F71" s="74"/>
      <c r="G71" s="75"/>
      <c r="H71" s="264" t="s">
        <v>87</v>
      </c>
      <c r="I71" s="265"/>
      <c r="J71" s="127">
        <f>IFERROR(ROUND(((J69*$W$2)+(J70*$W$3))/100,2),"")</f>
        <v>85.2</v>
      </c>
      <c r="K71" s="127">
        <f t="shared" ref="K71" si="104">IFERROR(ROUND(((K69*$W$2)+(K70*$W$3))/100,2),"")</f>
        <v>89</v>
      </c>
      <c r="L71" s="127">
        <f t="shared" ref="L71" si="105">IFERROR(ROUND(((L69*$W$2)+(L70*$W$3))/100,2),"")</f>
        <v>92.4</v>
      </c>
      <c r="M71" s="127">
        <f t="shared" ref="M71" si="106">IFERROR(ROUND(((M69*$W$2)+(M70*$W$3))/100,2),"")</f>
        <v>84.2</v>
      </c>
      <c r="N71" s="127">
        <f t="shared" ref="N71" si="107">IFERROR(ROUND(((N69*$W$2)+(N70*$W$3))/100,2),"")</f>
        <v>80.400000000000006</v>
      </c>
      <c r="O71" s="127">
        <f t="shared" ref="O71" si="108">IFERROR(ROUND(((O69*$W$2)+(O70*$W$3))/100,2),"")</f>
        <v>90.2</v>
      </c>
      <c r="P71" s="127">
        <f t="shared" ref="P71" si="109">IFERROR(ROUND(((P69*$W$2)+(P70*$W$3))/100,2),"")</f>
        <v>85</v>
      </c>
      <c r="Q71" s="127">
        <f t="shared" ref="Q71" si="110">IFERROR(ROUND(((Q69*$W$2)+(Q70*$W$3))/100,2),"")</f>
        <v>88</v>
      </c>
      <c r="R71" s="127">
        <f t="shared" ref="R71" si="111">IFERROR(ROUND(((R69*$W$2)+(R70*$W$3))/100,2),"")</f>
        <v>88.2</v>
      </c>
      <c r="S71" s="127">
        <f t="shared" si="66"/>
        <v>782.60000000000014</v>
      </c>
      <c r="T71" s="127">
        <f>IFERROR(AVERAGE(J71:R71),"")</f>
        <v>86.955555555555577</v>
      </c>
      <c r="U71" s="76"/>
      <c r="V71" s="76"/>
      <c r="W71" s="258"/>
      <c r="X71" s="55"/>
      <c r="Z71" s="52">
        <f>IF(T71="","",T71)</f>
        <v>86.955555555555577</v>
      </c>
    </row>
    <row r="72" spans="2:28" ht="19.5" customHeight="1" x14ac:dyDescent="0.3">
      <c r="B72" s="57">
        <f>IF('DATA SISWA &amp; SEK'!A17="","",'DATA SISWA &amp; SEK'!A17)</f>
        <v>14</v>
      </c>
      <c r="C72" s="58"/>
      <c r="D72" s="58"/>
      <c r="E72" s="58"/>
      <c r="F72" s="59"/>
      <c r="G72" s="60" t="str">
        <f>IF(B72="","",VLOOKUP(B72,'DATA SISWA &amp; SEK'!$A$4:$H$43,5,FALSE))</f>
        <v>PUPUT PUJI LESTARI</v>
      </c>
      <c r="H72" s="61" t="s">
        <v>167</v>
      </c>
      <c r="I72" s="68" t="s">
        <v>165</v>
      </c>
      <c r="J72" s="69">
        <v>83</v>
      </c>
      <c r="K72" s="69">
        <v>81</v>
      </c>
      <c r="L72" s="95">
        <v>82</v>
      </c>
      <c r="M72" s="95">
        <v>80</v>
      </c>
      <c r="N72" s="95">
        <v>79</v>
      </c>
      <c r="O72" s="69">
        <v>79</v>
      </c>
      <c r="P72" s="69">
        <v>79</v>
      </c>
      <c r="Q72" s="69">
        <v>87</v>
      </c>
      <c r="R72" s="69">
        <v>78</v>
      </c>
      <c r="S72" s="62">
        <f t="shared" si="66"/>
        <v>728</v>
      </c>
      <c r="T72" s="62">
        <f>IF(J72="","",AVERAGE(J72:R72))</f>
        <v>80.888888888888886</v>
      </c>
      <c r="U72" s="63"/>
      <c r="V72" s="63"/>
      <c r="W72" s="256">
        <f>IF(T76="","",RANK(Z76,$Z$11:$Z$206,0))</f>
        <v>18</v>
      </c>
    </row>
    <row r="73" spans="2:28" ht="19.5" customHeight="1" x14ac:dyDescent="0.25">
      <c r="B73" s="57"/>
      <c r="C73" s="58"/>
      <c r="D73" s="58"/>
      <c r="E73" s="58"/>
      <c r="F73" s="65"/>
      <c r="G73" s="66"/>
      <c r="H73" s="67"/>
      <c r="I73" s="68" t="s">
        <v>164</v>
      </c>
      <c r="J73" s="69">
        <v>83</v>
      </c>
      <c r="K73" s="69">
        <v>79</v>
      </c>
      <c r="L73" s="95">
        <v>79</v>
      </c>
      <c r="M73" s="95">
        <v>81</v>
      </c>
      <c r="N73" s="95">
        <v>79</v>
      </c>
      <c r="O73" s="69">
        <v>78</v>
      </c>
      <c r="P73" s="69">
        <v>78</v>
      </c>
      <c r="Q73" s="69">
        <v>85</v>
      </c>
      <c r="R73" s="69">
        <v>79</v>
      </c>
      <c r="S73" s="62">
        <f t="shared" si="66"/>
        <v>721</v>
      </c>
      <c r="T73" s="62">
        <f>IF(J73="","",AVERAGE(J73:R73))</f>
        <v>80.111111111111114</v>
      </c>
      <c r="U73" s="63"/>
      <c r="V73" s="63"/>
      <c r="W73" s="257"/>
    </row>
    <row r="74" spans="2:28" ht="28.5" customHeight="1" x14ac:dyDescent="0.25">
      <c r="B74" s="57"/>
      <c r="C74" s="58">
        <f>B72</f>
        <v>14</v>
      </c>
      <c r="D74" s="58"/>
      <c r="E74" s="58"/>
      <c r="F74" s="65"/>
      <c r="G74" s="66"/>
      <c r="H74" s="266" t="s">
        <v>161</v>
      </c>
      <c r="I74" s="267"/>
      <c r="J74" s="216">
        <f t="shared" ref="J74:R74" si="112">IFERROR(ROUND(AVERAGE(J72:J73),2),"")</f>
        <v>83</v>
      </c>
      <c r="K74" s="216">
        <f t="shared" si="112"/>
        <v>80</v>
      </c>
      <c r="L74" s="216">
        <f t="shared" si="112"/>
        <v>80.5</v>
      </c>
      <c r="M74" s="216">
        <f t="shared" si="112"/>
        <v>80.5</v>
      </c>
      <c r="N74" s="216">
        <f t="shared" si="112"/>
        <v>79</v>
      </c>
      <c r="O74" s="216">
        <f t="shared" si="112"/>
        <v>78.5</v>
      </c>
      <c r="P74" s="216">
        <f t="shared" si="112"/>
        <v>78.5</v>
      </c>
      <c r="Q74" s="216">
        <f t="shared" si="112"/>
        <v>86</v>
      </c>
      <c r="R74" s="216">
        <f t="shared" si="112"/>
        <v>78.5</v>
      </c>
      <c r="S74" s="216">
        <f t="shared" si="66"/>
        <v>724.5</v>
      </c>
      <c r="T74" s="216">
        <f>IFERROR(ROUND(AVERAGE(J74:R74),2),"")</f>
        <v>80.5</v>
      </c>
      <c r="U74" s="70"/>
      <c r="V74" s="70"/>
      <c r="W74" s="257"/>
      <c r="X74" s="55"/>
    </row>
    <row r="75" spans="2:28" ht="19.5" customHeight="1" x14ac:dyDescent="0.25">
      <c r="B75" s="57"/>
      <c r="C75" s="58"/>
      <c r="D75" s="58"/>
      <c r="E75" s="58"/>
      <c r="F75" s="65"/>
      <c r="G75" s="66"/>
      <c r="H75" s="268" t="s">
        <v>162</v>
      </c>
      <c r="I75" s="269"/>
      <c r="J75" s="69">
        <v>84</v>
      </c>
      <c r="K75" s="69">
        <v>80</v>
      </c>
      <c r="L75" s="95">
        <v>80</v>
      </c>
      <c r="M75" s="95">
        <v>80</v>
      </c>
      <c r="N75" s="95">
        <v>84</v>
      </c>
      <c r="O75" s="69">
        <v>84</v>
      </c>
      <c r="P75" s="69">
        <v>84</v>
      </c>
      <c r="Q75" s="69">
        <v>91</v>
      </c>
      <c r="R75" s="69">
        <v>82</v>
      </c>
      <c r="S75" s="62">
        <f t="shared" si="66"/>
        <v>749</v>
      </c>
      <c r="T75" s="62">
        <f>IF(J75="","",AVERAGE(J75:R75))</f>
        <v>83.222222222222229</v>
      </c>
      <c r="U75" s="71"/>
      <c r="V75" s="71"/>
      <c r="W75" s="257"/>
    </row>
    <row r="76" spans="2:28" ht="19.5" customHeight="1" thickBot="1" x14ac:dyDescent="0.3">
      <c r="B76" s="72"/>
      <c r="C76" s="73"/>
      <c r="D76" s="73">
        <f>B72</f>
        <v>14</v>
      </c>
      <c r="E76" s="73"/>
      <c r="F76" s="74"/>
      <c r="G76" s="75"/>
      <c r="H76" s="264" t="s">
        <v>87</v>
      </c>
      <c r="I76" s="265"/>
      <c r="J76" s="127">
        <f>IFERROR(ROUND(((J74*$W$2)+(J75*$W$3))/100,2),"")</f>
        <v>83.6</v>
      </c>
      <c r="K76" s="127">
        <f t="shared" ref="K76" si="113">IFERROR(ROUND(((K74*$W$2)+(K75*$W$3))/100,2),"")</f>
        <v>80</v>
      </c>
      <c r="L76" s="127">
        <f t="shared" ref="L76" si="114">IFERROR(ROUND(((L74*$W$2)+(L75*$W$3))/100,2),"")</f>
        <v>80.2</v>
      </c>
      <c r="M76" s="127">
        <f t="shared" ref="M76" si="115">IFERROR(ROUND(((M74*$W$2)+(M75*$W$3))/100,2),"")</f>
        <v>80.2</v>
      </c>
      <c r="N76" s="127">
        <f t="shared" ref="N76" si="116">IFERROR(ROUND(((N74*$W$2)+(N75*$W$3))/100,2),"")</f>
        <v>82</v>
      </c>
      <c r="O76" s="127">
        <f t="shared" ref="O76" si="117">IFERROR(ROUND(((O74*$W$2)+(O75*$W$3))/100,2),"")</f>
        <v>81.8</v>
      </c>
      <c r="P76" s="127">
        <f t="shared" ref="P76" si="118">IFERROR(ROUND(((P74*$W$2)+(P75*$W$3))/100,2),"")</f>
        <v>81.8</v>
      </c>
      <c r="Q76" s="127">
        <f t="shared" ref="Q76" si="119">IFERROR(ROUND(((Q74*$W$2)+(Q75*$W$3))/100,2),"")</f>
        <v>89</v>
      </c>
      <c r="R76" s="127">
        <f t="shared" ref="R76" si="120">IFERROR(ROUND(((R74*$W$2)+(R75*$W$3))/100,2),"")</f>
        <v>80.599999999999994</v>
      </c>
      <c r="S76" s="127">
        <f t="shared" si="66"/>
        <v>739.2</v>
      </c>
      <c r="T76" s="127">
        <f>IFERROR(AVERAGE(J76:R76),"")</f>
        <v>82.13333333333334</v>
      </c>
      <c r="U76" s="76"/>
      <c r="V76" s="76"/>
      <c r="W76" s="258"/>
      <c r="X76" s="55"/>
      <c r="Z76" s="52">
        <f>IF(T76="","",T76)</f>
        <v>82.13333333333334</v>
      </c>
    </row>
    <row r="77" spans="2:28" ht="19.5" customHeight="1" x14ac:dyDescent="0.3">
      <c r="B77" s="57">
        <f>IF('DATA SISWA &amp; SEK'!A18="","",'DATA SISWA &amp; SEK'!A18)</f>
        <v>15</v>
      </c>
      <c r="C77" s="58"/>
      <c r="D77" s="58"/>
      <c r="E77" s="58"/>
      <c r="F77" s="59"/>
      <c r="G77" s="60" t="str">
        <f>IF(B77="","",VLOOKUP(B77,'DATA SISWA &amp; SEK'!$A$4:$H$43,5,FALSE))</f>
        <v>RAMADANI</v>
      </c>
      <c r="H77" s="61" t="s">
        <v>167</v>
      </c>
      <c r="I77" s="68" t="s">
        <v>165</v>
      </c>
      <c r="J77" s="69">
        <v>82</v>
      </c>
      <c r="K77" s="69">
        <v>83</v>
      </c>
      <c r="L77" s="95">
        <v>83</v>
      </c>
      <c r="M77" s="95">
        <v>80</v>
      </c>
      <c r="N77" s="95">
        <v>80</v>
      </c>
      <c r="O77" s="69">
        <v>81</v>
      </c>
      <c r="P77" s="69">
        <v>83</v>
      </c>
      <c r="Q77" s="69">
        <v>87</v>
      </c>
      <c r="R77" s="69">
        <v>78</v>
      </c>
      <c r="S77" s="62">
        <f t="shared" si="66"/>
        <v>737</v>
      </c>
      <c r="T77" s="62">
        <f>IF(J77="","",AVERAGE(J77:R77))</f>
        <v>81.888888888888886</v>
      </c>
      <c r="U77" s="63"/>
      <c r="V77" s="63"/>
      <c r="W77" s="256">
        <f>IF(T81="","",RANK(Z81,$Z$11:$Z$206,0))</f>
        <v>19</v>
      </c>
      <c r="Z77" s="55"/>
      <c r="AA77" s="55"/>
      <c r="AB77" s="55"/>
    </row>
    <row r="78" spans="2:28" ht="19.5" customHeight="1" x14ac:dyDescent="0.25">
      <c r="B78" s="57"/>
      <c r="C78" s="58"/>
      <c r="D78" s="58"/>
      <c r="E78" s="58"/>
      <c r="F78" s="65"/>
      <c r="G78" s="66"/>
      <c r="H78" s="67"/>
      <c r="I78" s="68" t="s">
        <v>164</v>
      </c>
      <c r="J78" s="69">
        <v>80</v>
      </c>
      <c r="K78" s="69">
        <v>78</v>
      </c>
      <c r="L78" s="95">
        <v>80</v>
      </c>
      <c r="M78" s="95">
        <v>81</v>
      </c>
      <c r="N78" s="95">
        <v>78</v>
      </c>
      <c r="O78" s="69">
        <v>79</v>
      </c>
      <c r="P78" s="69">
        <v>80</v>
      </c>
      <c r="Q78" s="69">
        <v>86</v>
      </c>
      <c r="R78" s="69">
        <v>78</v>
      </c>
      <c r="S78" s="62">
        <f t="shared" si="66"/>
        <v>720</v>
      </c>
      <c r="T78" s="62">
        <f>IF(J78="","",AVERAGE(J78:R78))</f>
        <v>80</v>
      </c>
      <c r="U78" s="63"/>
      <c r="V78" s="63"/>
      <c r="W78" s="257"/>
      <c r="Z78" s="55"/>
      <c r="AA78" s="55"/>
      <c r="AB78" s="55"/>
    </row>
    <row r="79" spans="2:28" ht="29.25" customHeight="1" x14ac:dyDescent="0.25">
      <c r="B79" s="57"/>
      <c r="C79" s="58">
        <f>B77</f>
        <v>15</v>
      </c>
      <c r="D79" s="58"/>
      <c r="E79" s="58"/>
      <c r="F79" s="65"/>
      <c r="G79" s="66"/>
      <c r="H79" s="266" t="s">
        <v>161</v>
      </c>
      <c r="I79" s="267"/>
      <c r="J79" s="216">
        <f t="shared" ref="J79:R79" si="121">IFERROR(ROUND(AVERAGE(J77:J78),2),"")</f>
        <v>81</v>
      </c>
      <c r="K79" s="216">
        <f t="shared" si="121"/>
        <v>80.5</v>
      </c>
      <c r="L79" s="216">
        <f t="shared" si="121"/>
        <v>81.5</v>
      </c>
      <c r="M79" s="216">
        <f t="shared" si="121"/>
        <v>80.5</v>
      </c>
      <c r="N79" s="216">
        <f t="shared" si="121"/>
        <v>79</v>
      </c>
      <c r="O79" s="216">
        <f t="shared" si="121"/>
        <v>80</v>
      </c>
      <c r="P79" s="216">
        <f t="shared" si="121"/>
        <v>81.5</v>
      </c>
      <c r="Q79" s="216">
        <f t="shared" si="121"/>
        <v>86.5</v>
      </c>
      <c r="R79" s="216">
        <f t="shared" si="121"/>
        <v>78</v>
      </c>
      <c r="S79" s="216">
        <f t="shared" si="66"/>
        <v>728.5</v>
      </c>
      <c r="T79" s="216">
        <f>IFERROR(ROUND(AVERAGE(J79:R79),2),"")</f>
        <v>80.94</v>
      </c>
      <c r="U79" s="70"/>
      <c r="V79" s="70"/>
      <c r="W79" s="257"/>
      <c r="X79" s="55"/>
    </row>
    <row r="80" spans="2:28" ht="19.5" customHeight="1" x14ac:dyDescent="0.25">
      <c r="B80" s="57"/>
      <c r="C80" s="58"/>
      <c r="D80" s="58"/>
      <c r="E80" s="58"/>
      <c r="F80" s="65"/>
      <c r="G80" s="66"/>
      <c r="H80" s="268" t="s">
        <v>162</v>
      </c>
      <c r="I80" s="269"/>
      <c r="J80" s="69">
        <v>80</v>
      </c>
      <c r="K80" s="69">
        <v>80</v>
      </c>
      <c r="L80" s="95">
        <v>82</v>
      </c>
      <c r="M80" s="95">
        <v>80</v>
      </c>
      <c r="N80" s="95">
        <v>84</v>
      </c>
      <c r="O80" s="69">
        <v>80</v>
      </c>
      <c r="P80" s="69">
        <v>84</v>
      </c>
      <c r="Q80" s="69">
        <v>91</v>
      </c>
      <c r="R80" s="69">
        <v>82</v>
      </c>
      <c r="S80" s="62">
        <f t="shared" si="66"/>
        <v>743</v>
      </c>
      <c r="T80" s="62">
        <f>IF(J80="","",AVERAGE(J80:R80))</f>
        <v>82.555555555555557</v>
      </c>
      <c r="U80" s="71"/>
      <c r="V80" s="71"/>
      <c r="W80" s="257"/>
    </row>
    <row r="81" spans="2:28" ht="19.5" customHeight="1" thickBot="1" x14ac:dyDescent="0.3">
      <c r="B81" s="72"/>
      <c r="C81" s="73"/>
      <c r="D81" s="73">
        <f>B77</f>
        <v>15</v>
      </c>
      <c r="E81" s="73"/>
      <c r="F81" s="74"/>
      <c r="G81" s="75"/>
      <c r="H81" s="264" t="s">
        <v>87</v>
      </c>
      <c r="I81" s="265"/>
      <c r="J81" s="127">
        <f>IFERROR(ROUND(((J79*$W$2)+(J80*$W$3))/100,2),"")</f>
        <v>80.400000000000006</v>
      </c>
      <c r="K81" s="127">
        <f t="shared" ref="K81" si="122">IFERROR(ROUND(((K79*$W$2)+(K80*$W$3))/100,2),"")</f>
        <v>80.2</v>
      </c>
      <c r="L81" s="127">
        <f t="shared" ref="L81" si="123">IFERROR(ROUND(((L79*$W$2)+(L80*$W$3))/100,2),"")</f>
        <v>81.8</v>
      </c>
      <c r="M81" s="127">
        <f t="shared" ref="M81" si="124">IFERROR(ROUND(((M79*$W$2)+(M80*$W$3))/100,2),"")</f>
        <v>80.2</v>
      </c>
      <c r="N81" s="127">
        <f t="shared" ref="N81" si="125">IFERROR(ROUND(((N79*$W$2)+(N80*$W$3))/100,2),"")</f>
        <v>82</v>
      </c>
      <c r="O81" s="127">
        <f t="shared" ref="O81" si="126">IFERROR(ROUND(((O79*$W$2)+(O80*$W$3))/100,2),"")</f>
        <v>80</v>
      </c>
      <c r="P81" s="127">
        <f t="shared" ref="P81" si="127">IFERROR(ROUND(((P79*$W$2)+(P80*$W$3))/100,2),"")</f>
        <v>83</v>
      </c>
      <c r="Q81" s="127">
        <f t="shared" ref="Q81" si="128">IFERROR(ROUND(((Q79*$W$2)+(Q80*$W$3))/100,2),"")</f>
        <v>89.2</v>
      </c>
      <c r="R81" s="127">
        <f t="shared" ref="R81" si="129">IFERROR(ROUND(((R79*$W$2)+(R80*$W$3))/100,2),"")</f>
        <v>80.400000000000006</v>
      </c>
      <c r="S81" s="127">
        <f t="shared" si="66"/>
        <v>737.2</v>
      </c>
      <c r="T81" s="127">
        <f>IFERROR(AVERAGE(J81:R81),"")</f>
        <v>81.911111111111111</v>
      </c>
      <c r="U81" s="76"/>
      <c r="V81" s="76"/>
      <c r="W81" s="258"/>
      <c r="X81" s="55"/>
      <c r="Z81" s="52">
        <f>IF(T81="","",T81)</f>
        <v>81.911111111111111</v>
      </c>
    </row>
    <row r="82" spans="2:28" ht="19.5" customHeight="1" x14ac:dyDescent="0.3">
      <c r="B82" s="57">
        <f>IF('DATA SISWA &amp; SEK'!A19="","",'DATA SISWA &amp; SEK'!A19)</f>
        <v>16</v>
      </c>
      <c r="C82" s="58"/>
      <c r="D82" s="58"/>
      <c r="E82" s="58"/>
      <c r="F82" s="59"/>
      <c r="G82" s="60" t="str">
        <f>IF(B82="","",VLOOKUP(B82,'DATA SISWA &amp; SEK'!$A$4:$H$43,5,FALSE))</f>
        <v>RATRI PUSPITASARI</v>
      </c>
      <c r="H82" s="61" t="s">
        <v>167</v>
      </c>
      <c r="I82" s="68" t="s">
        <v>165</v>
      </c>
      <c r="J82" s="69">
        <v>83</v>
      </c>
      <c r="K82" s="69">
        <v>88</v>
      </c>
      <c r="L82" s="95">
        <v>90</v>
      </c>
      <c r="M82" s="95">
        <v>88</v>
      </c>
      <c r="N82" s="95">
        <v>81</v>
      </c>
      <c r="O82" s="69">
        <v>84</v>
      </c>
      <c r="P82" s="69">
        <v>86</v>
      </c>
      <c r="Q82" s="69">
        <v>87</v>
      </c>
      <c r="R82" s="69">
        <v>82</v>
      </c>
      <c r="S82" s="62">
        <f t="shared" si="66"/>
        <v>769</v>
      </c>
      <c r="T82" s="62">
        <f>IF(J82="","",AVERAGE(J82:R82))</f>
        <v>85.444444444444443</v>
      </c>
      <c r="U82" s="63"/>
      <c r="V82" s="63"/>
      <c r="W82" s="256">
        <f>IF(T86="","",RANK(Z86,$Z$11:$Z$206,0))</f>
        <v>11</v>
      </c>
      <c r="Z82" s="77"/>
      <c r="AA82" s="77"/>
      <c r="AB82" s="77"/>
    </row>
    <row r="83" spans="2:28" ht="19.5" customHeight="1" x14ac:dyDescent="0.25">
      <c r="B83" s="57"/>
      <c r="C83" s="58"/>
      <c r="D83" s="58"/>
      <c r="E83" s="58"/>
      <c r="F83" s="65"/>
      <c r="G83" s="66"/>
      <c r="H83" s="67"/>
      <c r="I83" s="68" t="s">
        <v>164</v>
      </c>
      <c r="J83" s="69">
        <v>84</v>
      </c>
      <c r="K83" s="69">
        <v>77</v>
      </c>
      <c r="L83" s="95">
        <v>78</v>
      </c>
      <c r="M83" s="95">
        <v>80</v>
      </c>
      <c r="N83" s="95">
        <v>77</v>
      </c>
      <c r="O83" s="69">
        <v>79</v>
      </c>
      <c r="P83" s="69">
        <v>78</v>
      </c>
      <c r="Q83" s="69">
        <v>85</v>
      </c>
      <c r="R83" s="69">
        <v>80</v>
      </c>
      <c r="S83" s="62">
        <f t="shared" si="66"/>
        <v>718</v>
      </c>
      <c r="T83" s="62">
        <f>IF(J83="","",AVERAGE(J83:R83))</f>
        <v>79.777777777777771</v>
      </c>
      <c r="U83" s="63"/>
      <c r="V83" s="63"/>
      <c r="W83" s="257"/>
      <c r="Z83" s="77"/>
      <c r="AA83" s="77"/>
      <c r="AB83" s="77"/>
    </row>
    <row r="84" spans="2:28" ht="30.75" customHeight="1" x14ac:dyDescent="0.25">
      <c r="B84" s="57"/>
      <c r="C84" s="58">
        <f>B82</f>
        <v>16</v>
      </c>
      <c r="D84" s="58"/>
      <c r="E84" s="58"/>
      <c r="F84" s="65"/>
      <c r="G84" s="66"/>
      <c r="H84" s="266" t="s">
        <v>161</v>
      </c>
      <c r="I84" s="267"/>
      <c r="J84" s="216">
        <f t="shared" ref="J84:R84" si="130">IFERROR(ROUND(AVERAGE(J82:J83),2),"")</f>
        <v>83.5</v>
      </c>
      <c r="K84" s="216">
        <f t="shared" si="130"/>
        <v>82.5</v>
      </c>
      <c r="L84" s="216">
        <f t="shared" si="130"/>
        <v>84</v>
      </c>
      <c r="M84" s="216">
        <f t="shared" si="130"/>
        <v>84</v>
      </c>
      <c r="N84" s="216">
        <f t="shared" si="130"/>
        <v>79</v>
      </c>
      <c r="O84" s="216">
        <f t="shared" si="130"/>
        <v>81.5</v>
      </c>
      <c r="P84" s="216">
        <f t="shared" si="130"/>
        <v>82</v>
      </c>
      <c r="Q84" s="216">
        <f t="shared" si="130"/>
        <v>86</v>
      </c>
      <c r="R84" s="216">
        <f t="shared" si="130"/>
        <v>81</v>
      </c>
      <c r="S84" s="216">
        <f t="shared" si="66"/>
        <v>743.5</v>
      </c>
      <c r="T84" s="216">
        <f>IFERROR(ROUND(AVERAGE(J84:R84),2),"")</f>
        <v>82.61</v>
      </c>
      <c r="U84" s="70"/>
      <c r="V84" s="70"/>
      <c r="W84" s="257"/>
      <c r="X84" s="55"/>
    </row>
    <row r="85" spans="2:28" ht="19.5" customHeight="1" x14ac:dyDescent="0.25">
      <c r="B85" s="57"/>
      <c r="C85" s="58"/>
      <c r="D85" s="58"/>
      <c r="E85" s="58"/>
      <c r="F85" s="65"/>
      <c r="G85" s="66"/>
      <c r="H85" s="268" t="s">
        <v>162</v>
      </c>
      <c r="I85" s="269"/>
      <c r="J85" s="69">
        <v>81</v>
      </c>
      <c r="K85" s="69">
        <v>83</v>
      </c>
      <c r="L85" s="95">
        <v>95</v>
      </c>
      <c r="M85" s="95">
        <v>85</v>
      </c>
      <c r="N85" s="95">
        <v>83</v>
      </c>
      <c r="O85" s="69">
        <v>93</v>
      </c>
      <c r="P85" s="69">
        <v>84</v>
      </c>
      <c r="Q85" s="69">
        <v>91</v>
      </c>
      <c r="R85" s="69">
        <v>85</v>
      </c>
      <c r="S85" s="62">
        <f t="shared" si="66"/>
        <v>780</v>
      </c>
      <c r="T85" s="62">
        <f>IF(J85="","",AVERAGE(J85:R85))</f>
        <v>86.666666666666671</v>
      </c>
      <c r="U85" s="71"/>
      <c r="V85" s="71"/>
      <c r="W85" s="257"/>
    </row>
    <row r="86" spans="2:28" ht="19.5" customHeight="1" thickBot="1" x14ac:dyDescent="0.3">
      <c r="B86" s="72"/>
      <c r="C86" s="73"/>
      <c r="D86" s="73">
        <f>B82</f>
        <v>16</v>
      </c>
      <c r="E86" s="73"/>
      <c r="F86" s="74"/>
      <c r="G86" s="75"/>
      <c r="H86" s="264" t="s">
        <v>87</v>
      </c>
      <c r="I86" s="265"/>
      <c r="J86" s="127">
        <f>IFERROR(ROUND(((J84*$W$2)+(J85*$W$3))/100,2),"")</f>
        <v>82</v>
      </c>
      <c r="K86" s="127">
        <f t="shared" ref="K86" si="131">IFERROR(ROUND(((K84*$W$2)+(K85*$W$3))/100,2),"")</f>
        <v>82.8</v>
      </c>
      <c r="L86" s="127">
        <f t="shared" ref="L86" si="132">IFERROR(ROUND(((L84*$W$2)+(L85*$W$3))/100,2),"")</f>
        <v>90.6</v>
      </c>
      <c r="M86" s="127">
        <f t="shared" ref="M86" si="133">IFERROR(ROUND(((M84*$W$2)+(M85*$W$3))/100,2),"")</f>
        <v>84.6</v>
      </c>
      <c r="N86" s="127">
        <f t="shared" ref="N86" si="134">IFERROR(ROUND(((N84*$W$2)+(N85*$W$3))/100,2),"")</f>
        <v>81.400000000000006</v>
      </c>
      <c r="O86" s="127">
        <f t="shared" ref="O86" si="135">IFERROR(ROUND(((O84*$W$2)+(O85*$W$3))/100,2),"")</f>
        <v>88.4</v>
      </c>
      <c r="P86" s="127">
        <f t="shared" ref="P86" si="136">IFERROR(ROUND(((P84*$W$2)+(P85*$W$3))/100,2),"")</f>
        <v>83.2</v>
      </c>
      <c r="Q86" s="127">
        <f t="shared" ref="Q86" si="137">IFERROR(ROUND(((Q84*$W$2)+(Q85*$W$3))/100,2),"")</f>
        <v>89</v>
      </c>
      <c r="R86" s="127">
        <f t="shared" ref="R86" si="138">IFERROR(ROUND(((R84*$W$2)+(R85*$W$3))/100,2),"")</f>
        <v>83.4</v>
      </c>
      <c r="S86" s="127">
        <f t="shared" si="66"/>
        <v>765.4</v>
      </c>
      <c r="T86" s="127">
        <f>IFERROR(AVERAGE(J86:R86),"")</f>
        <v>85.044444444444437</v>
      </c>
      <c r="U86" s="76"/>
      <c r="V86" s="76"/>
      <c r="W86" s="258"/>
      <c r="X86" s="55"/>
      <c r="Z86" s="52">
        <f>IF(T86="","",T86)</f>
        <v>85.044444444444437</v>
      </c>
    </row>
    <row r="87" spans="2:28" ht="19.5" customHeight="1" x14ac:dyDescent="0.3">
      <c r="B87" s="57">
        <f>IF('DATA SISWA &amp; SEK'!A20="","",'DATA SISWA &amp; SEK'!A20)</f>
        <v>17</v>
      </c>
      <c r="C87" s="58"/>
      <c r="D87" s="58"/>
      <c r="E87" s="58"/>
      <c r="F87" s="59"/>
      <c r="G87" s="60" t="str">
        <f>IF(B87="","",VLOOKUP(B87,'DATA SISWA &amp; SEK'!$A$4:$H$43,5,FALSE))</f>
        <v>RIZQI INDRI LESTARI</v>
      </c>
      <c r="H87" s="61" t="s">
        <v>167</v>
      </c>
      <c r="I87" s="68" t="s">
        <v>165</v>
      </c>
      <c r="J87" s="69">
        <v>88</v>
      </c>
      <c r="K87" s="69">
        <v>91</v>
      </c>
      <c r="L87" s="95">
        <v>93</v>
      </c>
      <c r="M87" s="95">
        <v>88</v>
      </c>
      <c r="N87" s="95">
        <v>83</v>
      </c>
      <c r="O87" s="69">
        <v>88</v>
      </c>
      <c r="P87" s="69">
        <v>88</v>
      </c>
      <c r="Q87" s="69">
        <v>90</v>
      </c>
      <c r="R87" s="69">
        <v>89</v>
      </c>
      <c r="S87" s="62">
        <f t="shared" ref="S87:S126" si="139">IF(J87="","",SUM(J87:R87))</f>
        <v>798</v>
      </c>
      <c r="T87" s="62">
        <f>IF(J87="","",AVERAGE(J87:R87))</f>
        <v>88.666666666666671</v>
      </c>
      <c r="U87" s="63"/>
      <c r="V87" s="63"/>
      <c r="W87" s="256">
        <f>IF(T91="","",RANK(Z91,$Z$11:$Z$206,0))</f>
        <v>4</v>
      </c>
      <c r="Z87" s="77"/>
      <c r="AA87" s="77"/>
      <c r="AB87" s="77"/>
    </row>
    <row r="88" spans="2:28" ht="19.5" customHeight="1" x14ac:dyDescent="0.25">
      <c r="B88" s="57"/>
      <c r="C88" s="58"/>
      <c r="D88" s="58"/>
      <c r="E88" s="58"/>
      <c r="F88" s="65"/>
      <c r="G88" s="66"/>
      <c r="H88" s="67"/>
      <c r="I88" s="68" t="s">
        <v>164</v>
      </c>
      <c r="J88" s="69">
        <v>91</v>
      </c>
      <c r="K88" s="69">
        <v>84</v>
      </c>
      <c r="L88" s="95">
        <v>90</v>
      </c>
      <c r="M88" s="95">
        <v>88</v>
      </c>
      <c r="N88" s="95">
        <v>83</v>
      </c>
      <c r="O88" s="69">
        <v>89</v>
      </c>
      <c r="P88" s="69">
        <v>88</v>
      </c>
      <c r="Q88" s="69">
        <v>91</v>
      </c>
      <c r="R88" s="69">
        <v>89</v>
      </c>
      <c r="S88" s="62">
        <f t="shared" si="139"/>
        <v>793</v>
      </c>
      <c r="T88" s="62">
        <f>IF(J88="","",AVERAGE(J88:R88))</f>
        <v>88.111111111111114</v>
      </c>
      <c r="U88" s="63"/>
      <c r="V88" s="63"/>
      <c r="W88" s="257"/>
      <c r="Z88" s="77"/>
      <c r="AA88" s="77"/>
      <c r="AB88" s="77"/>
    </row>
    <row r="89" spans="2:28" ht="36" customHeight="1" x14ac:dyDescent="0.25">
      <c r="B89" s="57"/>
      <c r="C89" s="58">
        <f>B87</f>
        <v>17</v>
      </c>
      <c r="D89" s="58"/>
      <c r="E89" s="58"/>
      <c r="F89" s="65"/>
      <c r="G89" s="66"/>
      <c r="H89" s="266" t="s">
        <v>161</v>
      </c>
      <c r="I89" s="267"/>
      <c r="J89" s="216">
        <f t="shared" ref="J89:R89" si="140">IFERROR(ROUND(AVERAGE(J87:J88),2),"")</f>
        <v>89.5</v>
      </c>
      <c r="K89" s="216">
        <f t="shared" si="140"/>
        <v>87.5</v>
      </c>
      <c r="L89" s="216">
        <f t="shared" si="140"/>
        <v>91.5</v>
      </c>
      <c r="M89" s="216">
        <f t="shared" si="140"/>
        <v>88</v>
      </c>
      <c r="N89" s="216">
        <f t="shared" si="140"/>
        <v>83</v>
      </c>
      <c r="O89" s="216">
        <f t="shared" si="140"/>
        <v>88.5</v>
      </c>
      <c r="P89" s="216">
        <f t="shared" si="140"/>
        <v>88</v>
      </c>
      <c r="Q89" s="216">
        <f t="shared" si="140"/>
        <v>90.5</v>
      </c>
      <c r="R89" s="216">
        <f t="shared" si="140"/>
        <v>89</v>
      </c>
      <c r="S89" s="216">
        <f t="shared" si="139"/>
        <v>795.5</v>
      </c>
      <c r="T89" s="216">
        <f>IFERROR(ROUND(AVERAGE(J89:R89),2),"")</f>
        <v>88.39</v>
      </c>
      <c r="U89" s="70"/>
      <c r="V89" s="70"/>
      <c r="W89" s="257"/>
      <c r="X89" s="55"/>
    </row>
    <row r="90" spans="2:28" ht="19.5" customHeight="1" x14ac:dyDescent="0.25">
      <c r="B90" s="57"/>
      <c r="C90" s="58"/>
      <c r="D90" s="58"/>
      <c r="E90" s="58"/>
      <c r="F90" s="65"/>
      <c r="G90" s="66"/>
      <c r="H90" s="268" t="s">
        <v>162</v>
      </c>
      <c r="I90" s="269"/>
      <c r="J90" s="69">
        <v>84</v>
      </c>
      <c r="K90" s="69">
        <v>89</v>
      </c>
      <c r="L90" s="95">
        <v>99</v>
      </c>
      <c r="M90" s="95">
        <v>84</v>
      </c>
      <c r="N90" s="95">
        <v>98</v>
      </c>
      <c r="O90" s="69">
        <v>92</v>
      </c>
      <c r="P90" s="69">
        <v>84</v>
      </c>
      <c r="Q90" s="69">
        <v>94</v>
      </c>
      <c r="R90" s="69">
        <v>93</v>
      </c>
      <c r="S90" s="62">
        <f t="shared" si="139"/>
        <v>817</v>
      </c>
      <c r="T90" s="62">
        <f>IF(J90="","",AVERAGE(J90:R90))</f>
        <v>90.777777777777771</v>
      </c>
      <c r="U90" s="71"/>
      <c r="V90" s="71"/>
      <c r="W90" s="257"/>
    </row>
    <row r="91" spans="2:28" ht="19.5" customHeight="1" thickBot="1" x14ac:dyDescent="0.3">
      <c r="B91" s="72"/>
      <c r="C91" s="73"/>
      <c r="D91" s="73">
        <f>B87</f>
        <v>17</v>
      </c>
      <c r="E91" s="73"/>
      <c r="F91" s="74"/>
      <c r="G91" s="75"/>
      <c r="H91" s="264" t="s">
        <v>87</v>
      </c>
      <c r="I91" s="265"/>
      <c r="J91" s="127">
        <f>IFERROR(ROUND(((J89*$W$2)+(J90*$W$3))/100,2),"")</f>
        <v>86.2</v>
      </c>
      <c r="K91" s="127">
        <f t="shared" ref="K91" si="141">IFERROR(ROUND(((K89*$W$2)+(K90*$W$3))/100,2),"")</f>
        <v>88.4</v>
      </c>
      <c r="L91" s="127">
        <f t="shared" ref="L91" si="142">IFERROR(ROUND(((L89*$W$2)+(L90*$W$3))/100,2),"")</f>
        <v>96</v>
      </c>
      <c r="M91" s="127">
        <f t="shared" ref="M91" si="143">IFERROR(ROUND(((M89*$W$2)+(M90*$W$3))/100,2),"")</f>
        <v>85.6</v>
      </c>
      <c r="N91" s="127">
        <f t="shared" ref="N91" si="144">IFERROR(ROUND(((N89*$W$2)+(N90*$W$3))/100,2),"")</f>
        <v>92</v>
      </c>
      <c r="O91" s="127">
        <f t="shared" ref="O91" si="145">IFERROR(ROUND(((O89*$W$2)+(O90*$W$3))/100,2),"")</f>
        <v>90.6</v>
      </c>
      <c r="P91" s="127">
        <f t="shared" ref="P91" si="146">IFERROR(ROUND(((P89*$W$2)+(P90*$W$3))/100,2),"")</f>
        <v>85.6</v>
      </c>
      <c r="Q91" s="127">
        <f t="shared" ref="Q91" si="147">IFERROR(ROUND(((Q89*$W$2)+(Q90*$W$3))/100,2),"")</f>
        <v>92.6</v>
      </c>
      <c r="R91" s="127">
        <f t="shared" ref="R91" si="148">IFERROR(ROUND(((R89*$W$2)+(R90*$W$3))/100,2),"")</f>
        <v>91.4</v>
      </c>
      <c r="S91" s="127">
        <f t="shared" si="139"/>
        <v>808.40000000000009</v>
      </c>
      <c r="T91" s="127">
        <f>IFERROR(AVERAGE(J91:R91),"")</f>
        <v>89.822222222222237</v>
      </c>
      <c r="U91" s="76"/>
      <c r="V91" s="76"/>
      <c r="W91" s="258"/>
      <c r="X91" s="55"/>
      <c r="Z91" s="52">
        <f>IF(T91="","",T91)</f>
        <v>89.822222222222237</v>
      </c>
    </row>
    <row r="92" spans="2:28" ht="19.5" customHeight="1" x14ac:dyDescent="0.3">
      <c r="B92" s="57">
        <f>IF('DATA SISWA &amp; SEK'!A21="","",'DATA SISWA &amp; SEK'!A21)</f>
        <v>18</v>
      </c>
      <c r="C92" s="58"/>
      <c r="D92" s="58"/>
      <c r="E92" s="58"/>
      <c r="F92" s="59"/>
      <c r="G92" s="60" t="str">
        <f>IF(B92="","",VLOOKUP(B92,'DATA SISWA &amp; SEK'!$A$4:$H$43,5,FALSE))</f>
        <v>SALSABILA KEYSHA ARAHMAN</v>
      </c>
      <c r="H92" s="61" t="s">
        <v>167</v>
      </c>
      <c r="I92" s="68" t="s">
        <v>165</v>
      </c>
      <c r="J92" s="69">
        <v>84</v>
      </c>
      <c r="K92" s="69">
        <v>81</v>
      </c>
      <c r="L92" s="95">
        <v>85</v>
      </c>
      <c r="M92" s="95">
        <v>80</v>
      </c>
      <c r="N92" s="95">
        <v>80</v>
      </c>
      <c r="O92" s="69">
        <v>80</v>
      </c>
      <c r="P92" s="69">
        <v>82</v>
      </c>
      <c r="Q92" s="69">
        <v>85</v>
      </c>
      <c r="R92" s="69">
        <v>77</v>
      </c>
      <c r="S92" s="62">
        <f t="shared" si="139"/>
        <v>734</v>
      </c>
      <c r="T92" s="62">
        <f>IF(J92="","",AVERAGE(J92:R92))</f>
        <v>81.555555555555557</v>
      </c>
      <c r="U92" s="63"/>
      <c r="V92" s="63"/>
      <c r="W92" s="256">
        <f>IF(T96="","",RANK(Z96,$Z$11:$Z$206,0))</f>
        <v>20</v>
      </c>
      <c r="Z92" s="77"/>
      <c r="AA92" s="77"/>
      <c r="AB92" s="77"/>
    </row>
    <row r="93" spans="2:28" ht="19.5" customHeight="1" x14ac:dyDescent="0.25">
      <c r="B93" s="57"/>
      <c r="C93" s="58"/>
      <c r="D93" s="58"/>
      <c r="E93" s="58"/>
      <c r="F93" s="65"/>
      <c r="G93" s="66"/>
      <c r="H93" s="67"/>
      <c r="I93" s="68" t="s">
        <v>164</v>
      </c>
      <c r="J93" s="69">
        <v>82</v>
      </c>
      <c r="K93" s="69">
        <v>79</v>
      </c>
      <c r="L93" s="95">
        <v>80</v>
      </c>
      <c r="M93" s="95">
        <v>77</v>
      </c>
      <c r="N93" s="95">
        <v>76</v>
      </c>
      <c r="O93" s="69">
        <v>76</v>
      </c>
      <c r="P93" s="69">
        <v>79</v>
      </c>
      <c r="Q93" s="69">
        <v>82</v>
      </c>
      <c r="R93" s="69">
        <v>76</v>
      </c>
      <c r="S93" s="62">
        <f t="shared" si="139"/>
        <v>707</v>
      </c>
      <c r="T93" s="62">
        <f>IF(J93="","",AVERAGE(J93:R93))</f>
        <v>78.555555555555557</v>
      </c>
      <c r="U93" s="63"/>
      <c r="V93" s="63"/>
      <c r="W93" s="257"/>
      <c r="Z93" s="77"/>
      <c r="AA93" s="77"/>
      <c r="AB93" s="77"/>
    </row>
    <row r="94" spans="2:28" ht="28.5" customHeight="1" x14ac:dyDescent="0.25">
      <c r="B94" s="57"/>
      <c r="C94" s="58">
        <f>B92</f>
        <v>18</v>
      </c>
      <c r="D94" s="58"/>
      <c r="E94" s="58"/>
      <c r="F94" s="65"/>
      <c r="G94" s="66"/>
      <c r="H94" s="266" t="s">
        <v>161</v>
      </c>
      <c r="I94" s="267"/>
      <c r="J94" s="216">
        <f t="shared" ref="J94:R94" si="149">IFERROR(ROUND(AVERAGE(J92:J93),2),"")</f>
        <v>83</v>
      </c>
      <c r="K94" s="216">
        <f t="shared" si="149"/>
        <v>80</v>
      </c>
      <c r="L94" s="216">
        <f t="shared" si="149"/>
        <v>82.5</v>
      </c>
      <c r="M94" s="216">
        <f t="shared" si="149"/>
        <v>78.5</v>
      </c>
      <c r="N94" s="216">
        <f t="shared" si="149"/>
        <v>78</v>
      </c>
      <c r="O94" s="216">
        <f t="shared" si="149"/>
        <v>78</v>
      </c>
      <c r="P94" s="216">
        <f t="shared" si="149"/>
        <v>80.5</v>
      </c>
      <c r="Q94" s="216">
        <f t="shared" si="149"/>
        <v>83.5</v>
      </c>
      <c r="R94" s="216">
        <f t="shared" si="149"/>
        <v>76.5</v>
      </c>
      <c r="S94" s="216">
        <f t="shared" si="139"/>
        <v>720.5</v>
      </c>
      <c r="T94" s="216">
        <f>IFERROR(ROUND(AVERAGE(J94:R94),2),"")</f>
        <v>80.06</v>
      </c>
      <c r="U94" s="70"/>
      <c r="V94" s="70"/>
      <c r="W94" s="257"/>
      <c r="X94" s="55"/>
    </row>
    <row r="95" spans="2:28" ht="19.5" customHeight="1" x14ac:dyDescent="0.25">
      <c r="B95" s="57"/>
      <c r="C95" s="58"/>
      <c r="D95" s="58"/>
      <c r="E95" s="58"/>
      <c r="F95" s="65"/>
      <c r="G95" s="66"/>
      <c r="H95" s="268" t="s">
        <v>162</v>
      </c>
      <c r="I95" s="269"/>
      <c r="J95" s="69">
        <v>80</v>
      </c>
      <c r="K95" s="69">
        <v>80</v>
      </c>
      <c r="L95" s="95">
        <v>79</v>
      </c>
      <c r="M95" s="95">
        <v>83</v>
      </c>
      <c r="N95" s="95">
        <v>82</v>
      </c>
      <c r="O95" s="69">
        <v>82</v>
      </c>
      <c r="P95" s="69">
        <v>84</v>
      </c>
      <c r="Q95" s="69">
        <v>89</v>
      </c>
      <c r="R95" s="69">
        <v>84</v>
      </c>
      <c r="S95" s="62">
        <f t="shared" si="139"/>
        <v>743</v>
      </c>
      <c r="T95" s="62">
        <f>IF(J95="","",AVERAGE(J95:R95))</f>
        <v>82.555555555555557</v>
      </c>
      <c r="U95" s="71"/>
      <c r="V95" s="71"/>
      <c r="W95" s="257"/>
      <c r="Z95" s="77"/>
      <c r="AA95" s="77"/>
      <c r="AB95" s="77"/>
    </row>
    <row r="96" spans="2:28" ht="19.5" customHeight="1" thickBot="1" x14ac:dyDescent="0.3">
      <c r="B96" s="72"/>
      <c r="C96" s="73"/>
      <c r="D96" s="73">
        <f>B92</f>
        <v>18</v>
      </c>
      <c r="E96" s="73"/>
      <c r="F96" s="74"/>
      <c r="G96" s="75"/>
      <c r="H96" s="264" t="s">
        <v>87</v>
      </c>
      <c r="I96" s="265"/>
      <c r="J96" s="127">
        <f>IFERROR(ROUND(((J94*$W$2)+(J95*$W$3))/100,2),"")</f>
        <v>81.2</v>
      </c>
      <c r="K96" s="127">
        <f t="shared" ref="K96" si="150">IFERROR(ROUND(((K94*$W$2)+(K95*$W$3))/100,2),"")</f>
        <v>80</v>
      </c>
      <c r="L96" s="127">
        <f t="shared" ref="L96" si="151">IFERROR(ROUND(((L94*$W$2)+(L95*$W$3))/100,2),"")</f>
        <v>80.400000000000006</v>
      </c>
      <c r="M96" s="127">
        <f t="shared" ref="M96" si="152">IFERROR(ROUND(((M94*$W$2)+(M95*$W$3))/100,2),"")</f>
        <v>81.2</v>
      </c>
      <c r="N96" s="127">
        <f t="shared" ref="N96" si="153">IFERROR(ROUND(((N94*$W$2)+(N95*$W$3))/100,2),"")</f>
        <v>80.400000000000006</v>
      </c>
      <c r="O96" s="127">
        <f t="shared" ref="O96" si="154">IFERROR(ROUND(((O94*$W$2)+(O95*$W$3))/100,2),"")</f>
        <v>80.400000000000006</v>
      </c>
      <c r="P96" s="127">
        <f t="shared" ref="P96" si="155">IFERROR(ROUND(((P94*$W$2)+(P95*$W$3))/100,2),"")</f>
        <v>82.6</v>
      </c>
      <c r="Q96" s="127">
        <f t="shared" ref="Q96" si="156">IFERROR(ROUND(((Q94*$W$2)+(Q95*$W$3))/100,2),"")</f>
        <v>86.8</v>
      </c>
      <c r="R96" s="127">
        <f t="shared" ref="R96" si="157">IFERROR(ROUND(((R94*$W$2)+(R95*$W$3))/100,2),"")</f>
        <v>81</v>
      </c>
      <c r="S96" s="127">
        <f t="shared" si="139"/>
        <v>734</v>
      </c>
      <c r="T96" s="127">
        <f>IFERROR(AVERAGE(J96:R96),"")</f>
        <v>81.555555555555557</v>
      </c>
      <c r="U96" s="76"/>
      <c r="V96" s="76"/>
      <c r="W96" s="258"/>
      <c r="X96" s="55"/>
      <c r="Z96" s="52">
        <f>IF(T96="","",T96)</f>
        <v>81.555555555555557</v>
      </c>
    </row>
    <row r="97" spans="2:28" ht="19.5" customHeight="1" x14ac:dyDescent="0.3">
      <c r="B97" s="57">
        <f>IF('DATA SISWA &amp; SEK'!A22="","",'DATA SISWA &amp; SEK'!A22)</f>
        <v>19</v>
      </c>
      <c r="C97" s="58"/>
      <c r="D97" s="58"/>
      <c r="E97" s="58"/>
      <c r="F97" s="59"/>
      <c r="G97" s="60" t="str">
        <f>IF(B97="","",VLOOKUP(B97,'DATA SISWA &amp; SEK'!$A$4:$H$43,5,FALSE))</f>
        <v>SUI ARDIYANI</v>
      </c>
      <c r="H97" s="61" t="s">
        <v>167</v>
      </c>
      <c r="I97" s="68" t="s">
        <v>165</v>
      </c>
      <c r="J97" s="69">
        <v>81</v>
      </c>
      <c r="K97" s="69">
        <v>81</v>
      </c>
      <c r="L97" s="95">
        <v>82</v>
      </c>
      <c r="M97" s="95">
        <v>79</v>
      </c>
      <c r="N97" s="95">
        <v>80</v>
      </c>
      <c r="O97" s="69">
        <v>79</v>
      </c>
      <c r="P97" s="69">
        <v>84</v>
      </c>
      <c r="Q97" s="69">
        <v>86</v>
      </c>
      <c r="R97" s="69">
        <v>79</v>
      </c>
      <c r="S97" s="62">
        <f t="shared" si="139"/>
        <v>731</v>
      </c>
      <c r="T97" s="62">
        <f>IF(J97="","",AVERAGE(J97:R97))</f>
        <v>81.222222222222229</v>
      </c>
      <c r="U97" s="63"/>
      <c r="V97" s="63"/>
      <c r="W97" s="256">
        <f>IF(T101="","",RANK(Z101,$Z$11:$Z$206,0))</f>
        <v>17</v>
      </c>
      <c r="Z97" s="77"/>
      <c r="AA97" s="77"/>
      <c r="AB97" s="77"/>
    </row>
    <row r="98" spans="2:28" ht="19.5" customHeight="1" x14ac:dyDescent="0.25">
      <c r="B98" s="57"/>
      <c r="C98" s="58"/>
      <c r="D98" s="58"/>
      <c r="E98" s="58"/>
      <c r="F98" s="65"/>
      <c r="G98" s="66"/>
      <c r="H98" s="67"/>
      <c r="I98" s="68" t="s">
        <v>164</v>
      </c>
      <c r="J98" s="69">
        <v>78</v>
      </c>
      <c r="K98" s="69">
        <v>79</v>
      </c>
      <c r="L98" s="95">
        <v>79</v>
      </c>
      <c r="M98" s="95">
        <v>80</v>
      </c>
      <c r="N98" s="95">
        <v>77</v>
      </c>
      <c r="O98" s="69">
        <v>79</v>
      </c>
      <c r="P98" s="69">
        <v>83</v>
      </c>
      <c r="Q98" s="69">
        <v>84</v>
      </c>
      <c r="R98" s="69">
        <v>79</v>
      </c>
      <c r="S98" s="62">
        <f t="shared" si="139"/>
        <v>718</v>
      </c>
      <c r="T98" s="62">
        <f>IF(J98="","",AVERAGE(J98:R98))</f>
        <v>79.777777777777771</v>
      </c>
      <c r="U98" s="63"/>
      <c r="V98" s="63"/>
      <c r="W98" s="257"/>
      <c r="Z98" s="77"/>
      <c r="AA98" s="77"/>
      <c r="AB98" s="77"/>
    </row>
    <row r="99" spans="2:28" ht="28.5" customHeight="1" x14ac:dyDescent="0.25">
      <c r="B99" s="57"/>
      <c r="C99" s="58">
        <f>B97</f>
        <v>19</v>
      </c>
      <c r="D99" s="58"/>
      <c r="E99" s="58"/>
      <c r="F99" s="65"/>
      <c r="G99" s="66"/>
      <c r="H99" s="266" t="s">
        <v>161</v>
      </c>
      <c r="I99" s="267"/>
      <c r="J99" s="216">
        <f t="shared" ref="J99:R99" si="158">IFERROR(ROUND(AVERAGE(J97:J98),2),"")</f>
        <v>79.5</v>
      </c>
      <c r="K99" s="216">
        <f t="shared" si="158"/>
        <v>80</v>
      </c>
      <c r="L99" s="216">
        <f t="shared" si="158"/>
        <v>80.5</v>
      </c>
      <c r="M99" s="216">
        <f t="shared" si="158"/>
        <v>79.5</v>
      </c>
      <c r="N99" s="216">
        <f t="shared" si="158"/>
        <v>78.5</v>
      </c>
      <c r="O99" s="216">
        <f t="shared" si="158"/>
        <v>79</v>
      </c>
      <c r="P99" s="216">
        <f t="shared" si="158"/>
        <v>83.5</v>
      </c>
      <c r="Q99" s="216">
        <f t="shared" si="158"/>
        <v>85</v>
      </c>
      <c r="R99" s="216">
        <f t="shared" si="158"/>
        <v>79</v>
      </c>
      <c r="S99" s="216">
        <f t="shared" si="139"/>
        <v>724.5</v>
      </c>
      <c r="T99" s="216">
        <f>IFERROR(ROUND(AVERAGE(J99:R99),2),"")</f>
        <v>80.5</v>
      </c>
      <c r="U99" s="70"/>
      <c r="V99" s="70"/>
      <c r="W99" s="257"/>
      <c r="X99" s="55"/>
    </row>
    <row r="100" spans="2:28" ht="19.5" customHeight="1" x14ac:dyDescent="0.25">
      <c r="B100" s="57"/>
      <c r="C100" s="58"/>
      <c r="D100" s="58"/>
      <c r="E100" s="58"/>
      <c r="F100" s="65"/>
      <c r="G100" s="66"/>
      <c r="H100" s="268" t="s">
        <v>162</v>
      </c>
      <c r="I100" s="269"/>
      <c r="J100" s="69">
        <v>82</v>
      </c>
      <c r="K100" s="69">
        <v>80</v>
      </c>
      <c r="L100" s="95">
        <v>80</v>
      </c>
      <c r="M100" s="95">
        <v>85</v>
      </c>
      <c r="N100" s="95">
        <v>82</v>
      </c>
      <c r="O100" s="69">
        <v>84</v>
      </c>
      <c r="P100" s="69">
        <v>84</v>
      </c>
      <c r="Q100" s="69">
        <v>90</v>
      </c>
      <c r="R100" s="69">
        <v>83</v>
      </c>
      <c r="S100" s="62">
        <f t="shared" si="139"/>
        <v>750</v>
      </c>
      <c r="T100" s="62">
        <f>IF(J100="","",AVERAGE(J100:R100))</f>
        <v>83.333333333333329</v>
      </c>
      <c r="U100" s="71"/>
      <c r="V100" s="71"/>
      <c r="W100" s="257"/>
      <c r="Z100" s="77"/>
      <c r="AA100" s="77"/>
      <c r="AB100" s="77"/>
    </row>
    <row r="101" spans="2:28" ht="19.5" customHeight="1" thickBot="1" x14ac:dyDescent="0.3">
      <c r="B101" s="72"/>
      <c r="C101" s="73"/>
      <c r="D101" s="73">
        <f>B97</f>
        <v>19</v>
      </c>
      <c r="E101" s="73"/>
      <c r="F101" s="74"/>
      <c r="G101" s="75"/>
      <c r="H101" s="264" t="s">
        <v>87</v>
      </c>
      <c r="I101" s="265"/>
      <c r="J101" s="127">
        <f>IFERROR(ROUND(((J99*$W$2)+(J100*$W$3))/100,2),"")</f>
        <v>81</v>
      </c>
      <c r="K101" s="127">
        <f t="shared" ref="K101" si="159">IFERROR(ROUND(((K99*$W$2)+(K100*$W$3))/100,2),"")</f>
        <v>80</v>
      </c>
      <c r="L101" s="127">
        <f t="shared" ref="L101" si="160">IFERROR(ROUND(((L99*$W$2)+(L100*$W$3))/100,2),"")</f>
        <v>80.2</v>
      </c>
      <c r="M101" s="127">
        <f t="shared" ref="M101" si="161">IFERROR(ROUND(((M99*$W$2)+(M100*$W$3))/100,2),"")</f>
        <v>82.8</v>
      </c>
      <c r="N101" s="127">
        <f t="shared" ref="N101" si="162">IFERROR(ROUND(((N99*$W$2)+(N100*$W$3))/100,2),"")</f>
        <v>80.599999999999994</v>
      </c>
      <c r="O101" s="127">
        <f t="shared" ref="O101" si="163">IFERROR(ROUND(((O99*$W$2)+(O100*$W$3))/100,2),"")</f>
        <v>82</v>
      </c>
      <c r="P101" s="127">
        <f t="shared" ref="P101" si="164">IFERROR(ROUND(((P99*$W$2)+(P100*$W$3))/100,2),"")</f>
        <v>83.8</v>
      </c>
      <c r="Q101" s="127">
        <f t="shared" ref="Q101" si="165">IFERROR(ROUND(((Q99*$W$2)+(Q100*$W$3))/100,2),"")</f>
        <v>88</v>
      </c>
      <c r="R101" s="127">
        <f t="shared" ref="R101" si="166">IFERROR(ROUND(((R99*$W$2)+(R100*$W$3))/100,2),"")</f>
        <v>81.400000000000006</v>
      </c>
      <c r="S101" s="127">
        <f t="shared" si="139"/>
        <v>739.8</v>
      </c>
      <c r="T101" s="127">
        <f>IFERROR(AVERAGE(J101:R101),"")</f>
        <v>82.199999999999989</v>
      </c>
      <c r="U101" s="76"/>
      <c r="V101" s="76"/>
      <c r="W101" s="258"/>
      <c r="X101" s="55"/>
      <c r="Z101" s="52">
        <f>IF(T101="","",T101)</f>
        <v>82.199999999999989</v>
      </c>
    </row>
    <row r="102" spans="2:28" ht="19.5" customHeight="1" x14ac:dyDescent="0.3">
      <c r="B102" s="57">
        <f>IF('DATA SISWA &amp; SEK'!A23="","",'DATA SISWA &amp; SEK'!A23)</f>
        <v>20</v>
      </c>
      <c r="C102" s="58"/>
      <c r="D102" s="58"/>
      <c r="E102" s="58"/>
      <c r="F102" s="59"/>
      <c r="G102" s="60" t="str">
        <f>IF(B102="","",VLOOKUP(B102,'DATA SISWA &amp; SEK'!$A$4:$H$43,5,FALSE))</f>
        <v>SYAFIK PUTRA MUBAROK</v>
      </c>
      <c r="H102" s="61" t="s">
        <v>167</v>
      </c>
      <c r="I102" s="68" t="s">
        <v>165</v>
      </c>
      <c r="J102" s="69">
        <v>82</v>
      </c>
      <c r="K102" s="69">
        <v>82</v>
      </c>
      <c r="L102" s="95">
        <v>83</v>
      </c>
      <c r="M102" s="95">
        <v>80</v>
      </c>
      <c r="N102" s="95">
        <v>80</v>
      </c>
      <c r="O102" s="69">
        <v>80</v>
      </c>
      <c r="P102" s="69">
        <v>81</v>
      </c>
      <c r="Q102" s="69">
        <v>87</v>
      </c>
      <c r="R102" s="69">
        <v>77</v>
      </c>
      <c r="S102" s="62">
        <f t="shared" si="139"/>
        <v>732</v>
      </c>
      <c r="T102" s="62">
        <f>IF(J102="","",AVERAGE(J102:R102))</f>
        <v>81.333333333333329</v>
      </c>
      <c r="U102" s="63"/>
      <c r="V102" s="63"/>
      <c r="W102" s="256">
        <f>IF(T106="","",RANK(Z106,$Z$11:$Z$206,0))</f>
        <v>15</v>
      </c>
      <c r="Z102" s="77"/>
      <c r="AA102" s="77"/>
      <c r="AB102" s="77"/>
    </row>
    <row r="103" spans="2:28" ht="19.5" customHeight="1" x14ac:dyDescent="0.25">
      <c r="B103" s="57"/>
      <c r="C103" s="58"/>
      <c r="D103" s="58"/>
      <c r="E103" s="58"/>
      <c r="F103" s="65"/>
      <c r="G103" s="66"/>
      <c r="H103" s="67"/>
      <c r="I103" s="68" t="s">
        <v>164</v>
      </c>
      <c r="J103" s="69">
        <v>82</v>
      </c>
      <c r="K103" s="69">
        <v>77</v>
      </c>
      <c r="L103" s="95">
        <v>79</v>
      </c>
      <c r="M103" s="95">
        <v>75</v>
      </c>
      <c r="N103" s="95">
        <v>77</v>
      </c>
      <c r="O103" s="69">
        <v>78</v>
      </c>
      <c r="P103" s="69">
        <v>78</v>
      </c>
      <c r="Q103" s="69">
        <v>85</v>
      </c>
      <c r="R103" s="69">
        <v>76</v>
      </c>
      <c r="S103" s="62">
        <f t="shared" si="139"/>
        <v>707</v>
      </c>
      <c r="T103" s="62">
        <f>IF(J103="","",AVERAGE(J103:R103))</f>
        <v>78.555555555555557</v>
      </c>
      <c r="U103" s="63"/>
      <c r="V103" s="63"/>
      <c r="W103" s="257"/>
      <c r="Z103" s="77"/>
      <c r="AA103" s="77"/>
      <c r="AB103" s="77"/>
    </row>
    <row r="104" spans="2:28" ht="33.75" customHeight="1" x14ac:dyDescent="0.25">
      <c r="B104" s="57"/>
      <c r="C104" s="58">
        <f>B102</f>
        <v>20</v>
      </c>
      <c r="D104" s="58"/>
      <c r="E104" s="58"/>
      <c r="F104" s="65"/>
      <c r="G104" s="66"/>
      <c r="H104" s="266" t="s">
        <v>161</v>
      </c>
      <c r="I104" s="267"/>
      <c r="J104" s="216">
        <f t="shared" ref="J104:R104" si="167">IFERROR(ROUND(AVERAGE(J102:J103),2),"")</f>
        <v>82</v>
      </c>
      <c r="K104" s="216">
        <f t="shared" si="167"/>
        <v>79.5</v>
      </c>
      <c r="L104" s="216">
        <f t="shared" si="167"/>
        <v>81</v>
      </c>
      <c r="M104" s="216">
        <f t="shared" si="167"/>
        <v>77.5</v>
      </c>
      <c r="N104" s="216">
        <f t="shared" si="167"/>
        <v>78.5</v>
      </c>
      <c r="O104" s="216">
        <f t="shared" si="167"/>
        <v>79</v>
      </c>
      <c r="P104" s="216">
        <f t="shared" si="167"/>
        <v>79.5</v>
      </c>
      <c r="Q104" s="216">
        <f t="shared" si="167"/>
        <v>86</v>
      </c>
      <c r="R104" s="216">
        <f t="shared" si="167"/>
        <v>76.5</v>
      </c>
      <c r="S104" s="216">
        <f t="shared" si="139"/>
        <v>719.5</v>
      </c>
      <c r="T104" s="216">
        <f>IFERROR(ROUND(AVERAGE(J104:R104),2),"")</f>
        <v>79.94</v>
      </c>
      <c r="U104" s="70"/>
      <c r="V104" s="70"/>
      <c r="W104" s="257"/>
      <c r="X104" s="55"/>
    </row>
    <row r="105" spans="2:28" ht="19.5" customHeight="1" x14ac:dyDescent="0.25">
      <c r="B105" s="57"/>
      <c r="C105" s="58"/>
      <c r="D105" s="58"/>
      <c r="E105" s="58"/>
      <c r="F105" s="65"/>
      <c r="G105" s="66"/>
      <c r="H105" s="268" t="s">
        <v>162</v>
      </c>
      <c r="I105" s="269"/>
      <c r="J105" s="69">
        <v>79</v>
      </c>
      <c r="K105" s="69">
        <v>84</v>
      </c>
      <c r="L105" s="95">
        <v>80</v>
      </c>
      <c r="M105" s="95">
        <v>84</v>
      </c>
      <c r="N105" s="95">
        <v>84</v>
      </c>
      <c r="O105" s="69">
        <v>84</v>
      </c>
      <c r="P105" s="69">
        <v>84</v>
      </c>
      <c r="Q105" s="69">
        <v>91</v>
      </c>
      <c r="R105" s="69">
        <v>84</v>
      </c>
      <c r="S105" s="62">
        <f t="shared" si="139"/>
        <v>754</v>
      </c>
      <c r="T105" s="62">
        <f>IF(J105="","",AVERAGE(J105:R105))</f>
        <v>83.777777777777771</v>
      </c>
      <c r="U105" s="71"/>
      <c r="V105" s="71"/>
      <c r="W105" s="257"/>
      <c r="Z105" s="77"/>
      <c r="AA105" s="77"/>
      <c r="AB105" s="77"/>
    </row>
    <row r="106" spans="2:28" ht="19.5" customHeight="1" thickBot="1" x14ac:dyDescent="0.3">
      <c r="B106" s="72"/>
      <c r="C106" s="73"/>
      <c r="D106" s="73">
        <f>B102</f>
        <v>20</v>
      </c>
      <c r="E106" s="73"/>
      <c r="F106" s="74"/>
      <c r="G106" s="75"/>
      <c r="H106" s="264" t="s">
        <v>87</v>
      </c>
      <c r="I106" s="265"/>
      <c r="J106" s="127">
        <f>IFERROR(ROUND(((J104*$W$2)+(J105*$W$3))/100,2),"")</f>
        <v>80.2</v>
      </c>
      <c r="K106" s="127">
        <f t="shared" ref="K106" si="168">IFERROR(ROUND(((K104*$W$2)+(K105*$W$3))/100,2),"")</f>
        <v>82.2</v>
      </c>
      <c r="L106" s="127">
        <f t="shared" ref="L106" si="169">IFERROR(ROUND(((L104*$W$2)+(L105*$W$3))/100,2),"")</f>
        <v>80.400000000000006</v>
      </c>
      <c r="M106" s="127">
        <f t="shared" ref="M106" si="170">IFERROR(ROUND(((M104*$W$2)+(M105*$W$3))/100,2),"")</f>
        <v>81.400000000000006</v>
      </c>
      <c r="N106" s="127">
        <f t="shared" ref="N106" si="171">IFERROR(ROUND(((N104*$W$2)+(N105*$W$3))/100,2),"")</f>
        <v>81.8</v>
      </c>
      <c r="O106" s="127">
        <f t="shared" ref="O106" si="172">IFERROR(ROUND(((O104*$W$2)+(O105*$W$3))/100,2),"")</f>
        <v>82</v>
      </c>
      <c r="P106" s="127">
        <f t="shared" ref="P106" si="173">IFERROR(ROUND(((P104*$W$2)+(P105*$W$3))/100,2),"")</f>
        <v>82.2</v>
      </c>
      <c r="Q106" s="127">
        <f t="shared" ref="Q106" si="174">IFERROR(ROUND(((Q104*$W$2)+(Q105*$W$3))/100,2),"")</f>
        <v>89</v>
      </c>
      <c r="R106" s="127">
        <f t="shared" ref="R106" si="175">IFERROR(ROUND(((R104*$W$2)+(R105*$W$3))/100,2),"")</f>
        <v>81</v>
      </c>
      <c r="S106" s="127">
        <f t="shared" si="139"/>
        <v>740.2</v>
      </c>
      <c r="T106" s="127">
        <f>IFERROR(AVERAGE(J106:R106),"")</f>
        <v>82.244444444444454</v>
      </c>
      <c r="U106" s="76"/>
      <c r="V106" s="76"/>
      <c r="W106" s="258"/>
      <c r="X106" s="55"/>
      <c r="Z106" s="52">
        <f>IF(T106="","",T106)</f>
        <v>82.244444444444454</v>
      </c>
    </row>
    <row r="107" spans="2:28" ht="19.5" customHeight="1" x14ac:dyDescent="0.3">
      <c r="B107" s="57">
        <f>IF('DATA SISWA &amp; SEK'!A24="","",'DATA SISWA &amp; SEK'!A24)</f>
        <v>21</v>
      </c>
      <c r="C107" s="58"/>
      <c r="D107" s="58"/>
      <c r="E107" s="58"/>
      <c r="F107" s="59"/>
      <c r="G107" s="60">
        <f>IF(B107="","",VLOOKUP(B107,'DATA SISWA &amp; SEK'!$A$4:$H$43,5,FALSE))</f>
        <v>0</v>
      </c>
      <c r="H107" s="61" t="s">
        <v>167</v>
      </c>
      <c r="I107" s="68" t="s">
        <v>165</v>
      </c>
      <c r="J107" s="69"/>
      <c r="K107" s="69"/>
      <c r="L107" s="95"/>
      <c r="M107" s="95"/>
      <c r="N107" s="95"/>
      <c r="O107" s="69"/>
      <c r="P107" s="69"/>
      <c r="Q107" s="69"/>
      <c r="R107" s="69"/>
      <c r="S107" s="62" t="str">
        <f t="shared" si="139"/>
        <v/>
      </c>
      <c r="T107" s="62" t="str">
        <f>IF(J107="","",AVERAGE(J107:R107))</f>
        <v/>
      </c>
      <c r="U107" s="63"/>
      <c r="V107" s="63"/>
      <c r="W107" s="256" t="str">
        <f>IF(T111="","",RANK(Z111,$Z$11:$Z$206,0))</f>
        <v/>
      </c>
    </row>
    <row r="108" spans="2:28" ht="19.5" customHeight="1" x14ac:dyDescent="0.25">
      <c r="B108" s="57"/>
      <c r="C108" s="58"/>
      <c r="D108" s="58"/>
      <c r="E108" s="58"/>
      <c r="F108" s="65"/>
      <c r="G108" s="66"/>
      <c r="H108" s="67"/>
      <c r="I108" s="68" t="s">
        <v>164</v>
      </c>
      <c r="J108" s="69"/>
      <c r="K108" s="69"/>
      <c r="L108" s="95"/>
      <c r="M108" s="95"/>
      <c r="N108" s="95"/>
      <c r="O108" s="69"/>
      <c r="P108" s="69"/>
      <c r="Q108" s="69"/>
      <c r="R108" s="69"/>
      <c r="S108" s="62" t="str">
        <f t="shared" si="139"/>
        <v/>
      </c>
      <c r="T108" s="62" t="str">
        <f>IF(J108="","",AVERAGE(J108:R108))</f>
        <v/>
      </c>
      <c r="U108" s="63"/>
      <c r="V108" s="63"/>
      <c r="W108" s="257"/>
    </row>
    <row r="109" spans="2:28" ht="32.25" customHeight="1" x14ac:dyDescent="0.25">
      <c r="B109" s="57"/>
      <c r="C109" s="58">
        <f>B107</f>
        <v>21</v>
      </c>
      <c r="D109" s="58"/>
      <c r="E109" s="58"/>
      <c r="F109" s="65"/>
      <c r="G109" s="66"/>
      <c r="H109" s="266" t="s">
        <v>161</v>
      </c>
      <c r="I109" s="267"/>
      <c r="J109" s="216" t="str">
        <f t="shared" ref="J109:R109" si="176">IFERROR(ROUND(AVERAGE(J107:J108),2),"")</f>
        <v/>
      </c>
      <c r="K109" s="216" t="str">
        <f t="shared" si="176"/>
        <v/>
      </c>
      <c r="L109" s="216" t="str">
        <f t="shared" si="176"/>
        <v/>
      </c>
      <c r="M109" s="216" t="str">
        <f t="shared" si="176"/>
        <v/>
      </c>
      <c r="N109" s="216" t="str">
        <f t="shared" si="176"/>
        <v/>
      </c>
      <c r="O109" s="216" t="str">
        <f t="shared" si="176"/>
        <v/>
      </c>
      <c r="P109" s="216" t="str">
        <f t="shared" si="176"/>
        <v/>
      </c>
      <c r="Q109" s="216" t="str">
        <f t="shared" si="176"/>
        <v/>
      </c>
      <c r="R109" s="216" t="str">
        <f t="shared" si="176"/>
        <v/>
      </c>
      <c r="S109" s="216" t="str">
        <f t="shared" si="139"/>
        <v/>
      </c>
      <c r="T109" s="216" t="str">
        <f>IFERROR(ROUND(AVERAGE(J109:R109),2),"")</f>
        <v/>
      </c>
      <c r="U109" s="70"/>
      <c r="V109" s="70"/>
      <c r="W109" s="257"/>
      <c r="X109" s="55"/>
    </row>
    <row r="110" spans="2:28" ht="19.5" customHeight="1" x14ac:dyDescent="0.25">
      <c r="B110" s="57"/>
      <c r="C110" s="58"/>
      <c r="D110" s="58"/>
      <c r="E110" s="58"/>
      <c r="F110" s="65"/>
      <c r="G110" s="66"/>
      <c r="H110" s="268" t="s">
        <v>162</v>
      </c>
      <c r="I110" s="269"/>
      <c r="J110" s="69"/>
      <c r="K110" s="69"/>
      <c r="L110" s="95"/>
      <c r="M110" s="95"/>
      <c r="N110" s="95"/>
      <c r="O110" s="69"/>
      <c r="P110" s="69"/>
      <c r="Q110" s="69"/>
      <c r="R110" s="69"/>
      <c r="S110" s="62" t="str">
        <f t="shared" si="139"/>
        <v/>
      </c>
      <c r="T110" s="62" t="str">
        <f>IF(J110="","",AVERAGE(J110:R110))</f>
        <v/>
      </c>
      <c r="U110" s="71"/>
      <c r="V110" s="71"/>
      <c r="W110" s="257"/>
    </row>
    <row r="111" spans="2:28" ht="19.5" customHeight="1" thickBot="1" x14ac:dyDescent="0.3">
      <c r="B111" s="72"/>
      <c r="C111" s="73"/>
      <c r="D111" s="73">
        <f>B107</f>
        <v>21</v>
      </c>
      <c r="E111" s="73"/>
      <c r="F111" s="74"/>
      <c r="G111" s="75"/>
      <c r="H111" s="264" t="s">
        <v>87</v>
      </c>
      <c r="I111" s="265"/>
      <c r="J111" s="127" t="str">
        <f>IFERROR(ROUND(((J109*$W$2)+(J110*$W$3))/100,2),"")</f>
        <v/>
      </c>
      <c r="K111" s="127" t="str">
        <f t="shared" ref="K111" si="177">IFERROR(ROUND(((K109*$W$2)+(K110*$W$3))/100,2),"")</f>
        <v/>
      </c>
      <c r="L111" s="127" t="str">
        <f t="shared" ref="L111" si="178">IFERROR(ROUND(((L109*$W$2)+(L110*$W$3))/100,2),"")</f>
        <v/>
      </c>
      <c r="M111" s="127" t="str">
        <f t="shared" ref="M111" si="179">IFERROR(ROUND(((M109*$W$2)+(M110*$W$3))/100,2),"")</f>
        <v/>
      </c>
      <c r="N111" s="127" t="str">
        <f t="shared" ref="N111" si="180">IFERROR(ROUND(((N109*$W$2)+(N110*$W$3))/100,2),"")</f>
        <v/>
      </c>
      <c r="O111" s="127" t="str">
        <f t="shared" ref="O111" si="181">IFERROR(ROUND(((O109*$W$2)+(O110*$W$3))/100,2),"")</f>
        <v/>
      </c>
      <c r="P111" s="127" t="str">
        <f t="shared" ref="P111" si="182">IFERROR(ROUND(((P109*$W$2)+(P110*$W$3))/100,2),"")</f>
        <v/>
      </c>
      <c r="Q111" s="127" t="str">
        <f t="shared" ref="Q111" si="183">IFERROR(ROUND(((Q109*$W$2)+(Q110*$W$3))/100,2),"")</f>
        <v/>
      </c>
      <c r="R111" s="127" t="str">
        <f t="shared" ref="R111" si="184">IFERROR(ROUND(((R109*$W$2)+(R110*$W$3))/100,2),"")</f>
        <v/>
      </c>
      <c r="S111" s="127" t="str">
        <f t="shared" si="139"/>
        <v/>
      </c>
      <c r="T111" s="127" t="str">
        <f>IFERROR(AVERAGE(J111:R111),"")</f>
        <v/>
      </c>
      <c r="U111" s="76"/>
      <c r="V111" s="76"/>
      <c r="W111" s="258"/>
      <c r="X111" s="55"/>
      <c r="Z111" s="52" t="str">
        <f>IF(T111="","",T111)</f>
        <v/>
      </c>
    </row>
    <row r="112" spans="2:28" ht="19.5" customHeight="1" x14ac:dyDescent="0.3">
      <c r="B112" s="57">
        <f>IF('DATA SISWA &amp; SEK'!A25="","",'DATA SISWA &amp; SEK'!A25)</f>
        <v>22</v>
      </c>
      <c r="C112" s="58"/>
      <c r="D112" s="58"/>
      <c r="E112" s="58"/>
      <c r="F112" s="59"/>
      <c r="G112" s="60">
        <f>IF(B112="","",VLOOKUP(B112,'DATA SISWA &amp; SEK'!$A$4:$H$43,5,FALSE))</f>
        <v>0</v>
      </c>
      <c r="H112" s="61" t="s">
        <v>167</v>
      </c>
      <c r="I112" s="68" t="s">
        <v>165</v>
      </c>
      <c r="J112" s="69"/>
      <c r="K112" s="69"/>
      <c r="L112" s="95"/>
      <c r="M112" s="95"/>
      <c r="N112" s="95"/>
      <c r="O112" s="69"/>
      <c r="P112" s="69"/>
      <c r="Q112" s="69"/>
      <c r="R112" s="69"/>
      <c r="S112" s="62" t="str">
        <f t="shared" si="139"/>
        <v/>
      </c>
      <c r="T112" s="62" t="str">
        <f>IF(J112="","",AVERAGE(J112:R112))</f>
        <v/>
      </c>
      <c r="U112" s="63"/>
      <c r="V112" s="63"/>
      <c r="W112" s="256" t="str">
        <f>IF(T116="","",RANK(Z116,$Z$11:$Z$206,0))</f>
        <v/>
      </c>
    </row>
    <row r="113" spans="2:28" ht="19.5" customHeight="1" x14ac:dyDescent="0.25">
      <c r="B113" s="57"/>
      <c r="C113" s="58"/>
      <c r="D113" s="58"/>
      <c r="E113" s="58"/>
      <c r="F113" s="65"/>
      <c r="G113" s="66"/>
      <c r="H113" s="67"/>
      <c r="I113" s="68" t="s">
        <v>164</v>
      </c>
      <c r="J113" s="69"/>
      <c r="K113" s="69"/>
      <c r="L113" s="95"/>
      <c r="M113" s="95"/>
      <c r="N113" s="95"/>
      <c r="O113" s="69"/>
      <c r="P113" s="69"/>
      <c r="Q113" s="69"/>
      <c r="R113" s="69"/>
      <c r="S113" s="62" t="str">
        <f t="shared" si="139"/>
        <v/>
      </c>
      <c r="T113" s="62" t="str">
        <f>IF(J113="","",AVERAGE(J113:R113))</f>
        <v/>
      </c>
      <c r="U113" s="63"/>
      <c r="V113" s="63"/>
      <c r="W113" s="257"/>
    </row>
    <row r="114" spans="2:28" ht="31.5" customHeight="1" x14ac:dyDescent="0.25">
      <c r="B114" s="57"/>
      <c r="C114" s="58">
        <f>B112</f>
        <v>22</v>
      </c>
      <c r="D114" s="58"/>
      <c r="E114" s="58"/>
      <c r="F114" s="65"/>
      <c r="G114" s="66"/>
      <c r="H114" s="266" t="s">
        <v>161</v>
      </c>
      <c r="I114" s="267"/>
      <c r="J114" s="216" t="str">
        <f t="shared" ref="J114:R114" si="185">IFERROR(ROUND(AVERAGE(J112:J113),2),"")</f>
        <v/>
      </c>
      <c r="K114" s="216" t="str">
        <f t="shared" si="185"/>
        <v/>
      </c>
      <c r="L114" s="216" t="str">
        <f t="shared" si="185"/>
        <v/>
      </c>
      <c r="M114" s="216" t="str">
        <f t="shared" si="185"/>
        <v/>
      </c>
      <c r="N114" s="216" t="str">
        <f t="shared" si="185"/>
        <v/>
      </c>
      <c r="O114" s="216" t="str">
        <f t="shared" si="185"/>
        <v/>
      </c>
      <c r="P114" s="216" t="str">
        <f t="shared" si="185"/>
        <v/>
      </c>
      <c r="Q114" s="216" t="str">
        <f t="shared" si="185"/>
        <v/>
      </c>
      <c r="R114" s="216" t="str">
        <f t="shared" si="185"/>
        <v/>
      </c>
      <c r="S114" s="216" t="str">
        <f t="shared" si="139"/>
        <v/>
      </c>
      <c r="T114" s="216" t="str">
        <f>IFERROR(ROUND(AVERAGE(J114:R114),2),"")</f>
        <v/>
      </c>
      <c r="U114" s="70"/>
      <c r="V114" s="70"/>
      <c r="W114" s="257"/>
      <c r="X114" s="55"/>
    </row>
    <row r="115" spans="2:28" ht="19.5" customHeight="1" x14ac:dyDescent="0.25">
      <c r="B115" s="57"/>
      <c r="C115" s="58"/>
      <c r="D115" s="58"/>
      <c r="E115" s="58"/>
      <c r="F115" s="65"/>
      <c r="G115" s="66"/>
      <c r="H115" s="268" t="s">
        <v>162</v>
      </c>
      <c r="I115" s="269"/>
      <c r="J115" s="69"/>
      <c r="K115" s="69"/>
      <c r="L115" s="95"/>
      <c r="M115" s="95"/>
      <c r="N115" s="95"/>
      <c r="O115" s="69"/>
      <c r="P115" s="69"/>
      <c r="Q115" s="69"/>
      <c r="R115" s="69"/>
      <c r="S115" s="62" t="str">
        <f t="shared" si="139"/>
        <v/>
      </c>
      <c r="T115" s="62" t="str">
        <f>IF(J115="","",AVERAGE(J115:R115))</f>
        <v/>
      </c>
      <c r="U115" s="71"/>
      <c r="V115" s="71"/>
      <c r="W115" s="257"/>
    </row>
    <row r="116" spans="2:28" ht="19.5" customHeight="1" thickBot="1" x14ac:dyDescent="0.3">
      <c r="B116" s="72"/>
      <c r="C116" s="73"/>
      <c r="D116" s="73">
        <f>B112</f>
        <v>22</v>
      </c>
      <c r="E116" s="73"/>
      <c r="F116" s="74"/>
      <c r="G116" s="75"/>
      <c r="H116" s="264" t="s">
        <v>87</v>
      </c>
      <c r="I116" s="265"/>
      <c r="J116" s="127" t="str">
        <f>IFERROR(ROUND(((J114*$W$2)+(J115*$W$3))/100,2),"")</f>
        <v/>
      </c>
      <c r="K116" s="127" t="str">
        <f t="shared" ref="K116" si="186">IFERROR(ROUND(((K114*$W$2)+(K115*$W$3))/100,2),"")</f>
        <v/>
      </c>
      <c r="L116" s="127" t="str">
        <f t="shared" ref="L116" si="187">IFERROR(ROUND(((L114*$W$2)+(L115*$W$3))/100,2),"")</f>
        <v/>
      </c>
      <c r="M116" s="127" t="str">
        <f t="shared" ref="M116" si="188">IFERROR(ROUND(((M114*$W$2)+(M115*$W$3))/100,2),"")</f>
        <v/>
      </c>
      <c r="N116" s="127" t="str">
        <f t="shared" ref="N116" si="189">IFERROR(ROUND(((N114*$W$2)+(N115*$W$3))/100,2),"")</f>
        <v/>
      </c>
      <c r="O116" s="127" t="str">
        <f t="shared" ref="O116" si="190">IFERROR(ROUND(((O114*$W$2)+(O115*$W$3))/100,2),"")</f>
        <v/>
      </c>
      <c r="P116" s="127" t="str">
        <f t="shared" ref="P116" si="191">IFERROR(ROUND(((P114*$W$2)+(P115*$W$3))/100,2),"")</f>
        <v/>
      </c>
      <c r="Q116" s="127" t="str">
        <f t="shared" ref="Q116" si="192">IFERROR(ROUND(((Q114*$W$2)+(Q115*$W$3))/100,2),"")</f>
        <v/>
      </c>
      <c r="R116" s="127" t="str">
        <f t="shared" ref="R116" si="193">IFERROR(ROUND(((R114*$W$2)+(R115*$W$3))/100,2),"")</f>
        <v/>
      </c>
      <c r="S116" s="127" t="str">
        <f t="shared" si="139"/>
        <v/>
      </c>
      <c r="T116" s="127" t="str">
        <f>IFERROR(AVERAGE(J116:R116),"")</f>
        <v/>
      </c>
      <c r="U116" s="76"/>
      <c r="V116" s="76"/>
      <c r="W116" s="258"/>
      <c r="X116" s="55"/>
      <c r="Z116" s="52" t="str">
        <f>IF(T116="","",T116)</f>
        <v/>
      </c>
    </row>
    <row r="117" spans="2:28" ht="18" customHeight="1" x14ac:dyDescent="0.3">
      <c r="B117" s="57">
        <f>IF('DATA SISWA &amp; SEK'!A26="","",'DATA SISWA &amp; SEK'!A26)</f>
        <v>23</v>
      </c>
      <c r="C117" s="58"/>
      <c r="D117" s="58"/>
      <c r="E117" s="58"/>
      <c r="F117" s="59"/>
      <c r="G117" s="60">
        <f>IF(B117="","",VLOOKUP(B117,'DATA SISWA &amp; SEK'!$A$4:$H$43,5,FALSE))</f>
        <v>0</v>
      </c>
      <c r="H117" s="61" t="s">
        <v>167</v>
      </c>
      <c r="I117" s="68" t="s">
        <v>165</v>
      </c>
      <c r="J117" s="69"/>
      <c r="K117" s="69"/>
      <c r="L117" s="95"/>
      <c r="M117" s="95"/>
      <c r="N117" s="95"/>
      <c r="O117" s="69"/>
      <c r="P117" s="69"/>
      <c r="Q117" s="69"/>
      <c r="R117" s="69"/>
      <c r="S117" s="62" t="str">
        <f t="shared" si="139"/>
        <v/>
      </c>
      <c r="T117" s="62" t="str">
        <f>IF(J117="","",AVERAGE(J117:R117))</f>
        <v/>
      </c>
      <c r="U117" s="63"/>
      <c r="V117" s="63"/>
      <c r="W117" s="256" t="str">
        <f>IF(T121="","",RANK(Z121,$Z$11:$Z$206,0))</f>
        <v/>
      </c>
    </row>
    <row r="118" spans="2:28" ht="18" customHeight="1" x14ac:dyDescent="0.25">
      <c r="B118" s="57"/>
      <c r="C118" s="58"/>
      <c r="D118" s="58"/>
      <c r="E118" s="58"/>
      <c r="F118" s="65"/>
      <c r="G118" s="66"/>
      <c r="H118" s="67"/>
      <c r="I118" s="68" t="s">
        <v>164</v>
      </c>
      <c r="J118" s="69"/>
      <c r="K118" s="69"/>
      <c r="L118" s="95"/>
      <c r="M118" s="95"/>
      <c r="N118" s="95"/>
      <c r="O118" s="69"/>
      <c r="P118" s="69"/>
      <c r="Q118" s="69"/>
      <c r="R118" s="69"/>
      <c r="S118" s="62" t="str">
        <f t="shared" si="139"/>
        <v/>
      </c>
      <c r="T118" s="62" t="str">
        <f>IF(J118="","",AVERAGE(J118:R118))</f>
        <v/>
      </c>
      <c r="U118" s="63"/>
      <c r="V118" s="63"/>
      <c r="W118" s="257"/>
    </row>
    <row r="119" spans="2:28" ht="30" customHeight="1" x14ac:dyDescent="0.25">
      <c r="B119" s="57"/>
      <c r="C119" s="58">
        <f>B117</f>
        <v>23</v>
      </c>
      <c r="D119" s="58"/>
      <c r="E119" s="58"/>
      <c r="F119" s="65"/>
      <c r="G119" s="66"/>
      <c r="H119" s="266" t="s">
        <v>161</v>
      </c>
      <c r="I119" s="267"/>
      <c r="J119" s="216" t="str">
        <f t="shared" ref="J119:R119" si="194">IFERROR(ROUND(AVERAGE(J117:J118),2),"")</f>
        <v/>
      </c>
      <c r="K119" s="216" t="str">
        <f t="shared" si="194"/>
        <v/>
      </c>
      <c r="L119" s="216" t="str">
        <f t="shared" si="194"/>
        <v/>
      </c>
      <c r="M119" s="216" t="str">
        <f t="shared" si="194"/>
        <v/>
      </c>
      <c r="N119" s="216" t="str">
        <f t="shared" si="194"/>
        <v/>
      </c>
      <c r="O119" s="216" t="str">
        <f t="shared" si="194"/>
        <v/>
      </c>
      <c r="P119" s="216" t="str">
        <f t="shared" si="194"/>
        <v/>
      </c>
      <c r="Q119" s="216" t="str">
        <f t="shared" si="194"/>
        <v/>
      </c>
      <c r="R119" s="216" t="str">
        <f t="shared" si="194"/>
        <v/>
      </c>
      <c r="S119" s="216" t="str">
        <f t="shared" si="139"/>
        <v/>
      </c>
      <c r="T119" s="216" t="str">
        <f>IFERROR(ROUND(AVERAGE(J119:R119),2),"")</f>
        <v/>
      </c>
      <c r="U119" s="70"/>
      <c r="V119" s="70"/>
      <c r="W119" s="257"/>
      <c r="X119" s="55"/>
    </row>
    <row r="120" spans="2:28" ht="21" customHeight="1" x14ac:dyDescent="0.25">
      <c r="B120" s="57"/>
      <c r="C120" s="58"/>
      <c r="D120" s="58"/>
      <c r="E120" s="58"/>
      <c r="F120" s="65"/>
      <c r="G120" s="66"/>
      <c r="H120" s="268" t="s">
        <v>162</v>
      </c>
      <c r="I120" s="269"/>
      <c r="J120" s="69"/>
      <c r="K120" s="69"/>
      <c r="L120" s="95"/>
      <c r="M120" s="95"/>
      <c r="N120" s="95"/>
      <c r="O120" s="69"/>
      <c r="P120" s="69"/>
      <c r="Q120" s="69"/>
      <c r="R120" s="69"/>
      <c r="S120" s="62" t="str">
        <f t="shared" si="139"/>
        <v/>
      </c>
      <c r="T120" s="62" t="str">
        <f>IF(J120="","",AVERAGE(J120:R120))</f>
        <v/>
      </c>
      <c r="U120" s="71"/>
      <c r="V120" s="71"/>
      <c r="W120" s="257"/>
    </row>
    <row r="121" spans="2:28" ht="24.75" customHeight="1" thickBot="1" x14ac:dyDescent="0.3">
      <c r="B121" s="72"/>
      <c r="C121" s="73"/>
      <c r="D121" s="73">
        <f>B117</f>
        <v>23</v>
      </c>
      <c r="E121" s="73"/>
      <c r="F121" s="74"/>
      <c r="G121" s="75"/>
      <c r="H121" s="264" t="s">
        <v>87</v>
      </c>
      <c r="I121" s="265"/>
      <c r="J121" s="127" t="str">
        <f>IFERROR(ROUND(((J119*$W$2)+(J120*$W$3))/100,2),"")</f>
        <v/>
      </c>
      <c r="K121" s="127" t="str">
        <f t="shared" ref="K121" si="195">IFERROR(ROUND(((K119*$W$2)+(K120*$W$3))/100,2),"")</f>
        <v/>
      </c>
      <c r="L121" s="127" t="str">
        <f t="shared" ref="L121" si="196">IFERROR(ROUND(((L119*$W$2)+(L120*$W$3))/100,2),"")</f>
        <v/>
      </c>
      <c r="M121" s="127" t="str">
        <f t="shared" ref="M121" si="197">IFERROR(ROUND(((M119*$W$2)+(M120*$W$3))/100,2),"")</f>
        <v/>
      </c>
      <c r="N121" s="127" t="str">
        <f t="shared" ref="N121" si="198">IFERROR(ROUND(((N119*$W$2)+(N120*$W$3))/100,2),"")</f>
        <v/>
      </c>
      <c r="O121" s="127" t="str">
        <f t="shared" ref="O121" si="199">IFERROR(ROUND(((O119*$W$2)+(O120*$W$3))/100,2),"")</f>
        <v/>
      </c>
      <c r="P121" s="127" t="str">
        <f t="shared" ref="P121" si="200">IFERROR(ROUND(((P119*$W$2)+(P120*$W$3))/100,2),"")</f>
        <v/>
      </c>
      <c r="Q121" s="127" t="str">
        <f t="shared" ref="Q121" si="201">IFERROR(ROUND(((Q119*$W$2)+(Q120*$W$3))/100,2),"")</f>
        <v/>
      </c>
      <c r="R121" s="127" t="str">
        <f t="shared" ref="R121" si="202">IFERROR(ROUND(((R119*$W$2)+(R120*$W$3))/100,2),"")</f>
        <v/>
      </c>
      <c r="S121" s="127" t="str">
        <f t="shared" si="139"/>
        <v/>
      </c>
      <c r="T121" s="127" t="str">
        <f>IFERROR(AVERAGE(J121:R121),"")</f>
        <v/>
      </c>
      <c r="U121" s="76"/>
      <c r="V121" s="76"/>
      <c r="W121" s="258"/>
      <c r="X121" s="55"/>
      <c r="Z121" s="52" t="str">
        <f>IF(T121="","",T121)</f>
        <v/>
      </c>
    </row>
    <row r="122" spans="2:28" ht="21" customHeight="1" x14ac:dyDescent="0.3">
      <c r="B122" s="57">
        <f>IF('DATA SISWA &amp; SEK'!A27="","",'DATA SISWA &amp; SEK'!A27)</f>
        <v>24</v>
      </c>
      <c r="C122" s="58"/>
      <c r="D122" s="58"/>
      <c r="E122" s="58"/>
      <c r="F122" s="59"/>
      <c r="G122" s="60">
        <f>IF(B122="","",VLOOKUP(B122,'DATA SISWA &amp; SEK'!$A$4:$H$43,5,FALSE))</f>
        <v>0</v>
      </c>
      <c r="H122" s="61" t="s">
        <v>167</v>
      </c>
      <c r="I122" s="68" t="s">
        <v>165</v>
      </c>
      <c r="J122" s="69"/>
      <c r="K122" s="69"/>
      <c r="L122" s="95"/>
      <c r="M122" s="95"/>
      <c r="N122" s="95"/>
      <c r="O122" s="69"/>
      <c r="P122" s="69"/>
      <c r="Q122" s="69"/>
      <c r="R122" s="69"/>
      <c r="S122" s="62" t="str">
        <f t="shared" si="139"/>
        <v/>
      </c>
      <c r="T122" s="62" t="str">
        <f>IF(J122="","",AVERAGE(J122:R122))</f>
        <v/>
      </c>
      <c r="U122" s="63"/>
      <c r="V122" s="63"/>
      <c r="W122" s="256" t="str">
        <f>IF(T126="","",RANK(Z126,$Z$11:$Z$206,0))</f>
        <v/>
      </c>
    </row>
    <row r="123" spans="2:28" ht="21" customHeight="1" x14ac:dyDescent="0.25">
      <c r="B123" s="57"/>
      <c r="C123" s="58"/>
      <c r="D123" s="58"/>
      <c r="E123" s="58"/>
      <c r="F123" s="65"/>
      <c r="G123" s="66"/>
      <c r="H123" s="67"/>
      <c r="I123" s="68" t="s">
        <v>164</v>
      </c>
      <c r="J123" s="69"/>
      <c r="K123" s="69"/>
      <c r="L123" s="95"/>
      <c r="M123" s="95"/>
      <c r="N123" s="95"/>
      <c r="O123" s="69"/>
      <c r="P123" s="69"/>
      <c r="Q123" s="69"/>
      <c r="R123" s="69"/>
      <c r="S123" s="62" t="str">
        <f t="shared" si="139"/>
        <v/>
      </c>
      <c r="T123" s="62" t="str">
        <f>IF(J123="","",AVERAGE(J123:R123))</f>
        <v/>
      </c>
      <c r="U123" s="63"/>
      <c r="V123" s="63"/>
      <c r="W123" s="257"/>
    </row>
    <row r="124" spans="2:28" ht="27" customHeight="1" x14ac:dyDescent="0.25">
      <c r="B124" s="57"/>
      <c r="C124" s="58">
        <f>B122</f>
        <v>24</v>
      </c>
      <c r="D124" s="58"/>
      <c r="E124" s="58"/>
      <c r="F124" s="65"/>
      <c r="G124" s="66"/>
      <c r="H124" s="266" t="s">
        <v>161</v>
      </c>
      <c r="I124" s="267"/>
      <c r="J124" s="216" t="str">
        <f t="shared" ref="J124:R124" si="203">IFERROR(ROUND(AVERAGE(J122:J123),2),"")</f>
        <v/>
      </c>
      <c r="K124" s="216" t="str">
        <f t="shared" si="203"/>
        <v/>
      </c>
      <c r="L124" s="216" t="str">
        <f t="shared" si="203"/>
        <v/>
      </c>
      <c r="M124" s="216" t="str">
        <f t="shared" si="203"/>
        <v/>
      </c>
      <c r="N124" s="216" t="str">
        <f t="shared" si="203"/>
        <v/>
      </c>
      <c r="O124" s="216" t="str">
        <f t="shared" si="203"/>
        <v/>
      </c>
      <c r="P124" s="216" t="str">
        <f t="shared" si="203"/>
        <v/>
      </c>
      <c r="Q124" s="216" t="str">
        <f t="shared" si="203"/>
        <v/>
      </c>
      <c r="R124" s="216" t="str">
        <f t="shared" si="203"/>
        <v/>
      </c>
      <c r="S124" s="216" t="str">
        <f t="shared" si="139"/>
        <v/>
      </c>
      <c r="T124" s="216" t="str">
        <f>IFERROR(ROUND(AVERAGE(J124:R124),2),"")</f>
        <v/>
      </c>
      <c r="U124" s="70"/>
      <c r="V124" s="70"/>
      <c r="W124" s="257"/>
      <c r="X124" s="55"/>
    </row>
    <row r="125" spans="2:28" ht="21" customHeight="1" x14ac:dyDescent="0.25">
      <c r="B125" s="57"/>
      <c r="C125" s="58"/>
      <c r="D125" s="58"/>
      <c r="E125" s="58"/>
      <c r="F125" s="65"/>
      <c r="G125" s="66"/>
      <c r="H125" s="268" t="s">
        <v>162</v>
      </c>
      <c r="I125" s="269"/>
      <c r="J125" s="69"/>
      <c r="K125" s="69"/>
      <c r="L125" s="95"/>
      <c r="M125" s="95"/>
      <c r="N125" s="95"/>
      <c r="O125" s="69"/>
      <c r="P125" s="69"/>
      <c r="Q125" s="69"/>
      <c r="R125" s="69"/>
      <c r="S125" s="62" t="str">
        <f t="shared" si="139"/>
        <v/>
      </c>
      <c r="T125" s="62" t="str">
        <f>IF(J125="","",AVERAGE(J125:R125))</f>
        <v/>
      </c>
      <c r="U125" s="71"/>
      <c r="V125" s="71"/>
      <c r="W125" s="257"/>
    </row>
    <row r="126" spans="2:28" ht="21" customHeight="1" thickBot="1" x14ac:dyDescent="0.3">
      <c r="B126" s="72"/>
      <c r="C126" s="73"/>
      <c r="D126" s="73">
        <f>B122</f>
        <v>24</v>
      </c>
      <c r="E126" s="73"/>
      <c r="F126" s="74"/>
      <c r="G126" s="75"/>
      <c r="H126" s="264" t="s">
        <v>87</v>
      </c>
      <c r="I126" s="265"/>
      <c r="J126" s="127" t="str">
        <f>IFERROR(ROUND(((J124*$W$2)+(J125*$W$3))/100,2),"")</f>
        <v/>
      </c>
      <c r="K126" s="127" t="str">
        <f t="shared" ref="K126" si="204">IFERROR(ROUND(((K124*$W$2)+(K125*$W$3))/100,2),"")</f>
        <v/>
      </c>
      <c r="L126" s="127" t="str">
        <f t="shared" ref="L126" si="205">IFERROR(ROUND(((L124*$W$2)+(L125*$W$3))/100,2),"")</f>
        <v/>
      </c>
      <c r="M126" s="127" t="str">
        <f t="shared" ref="M126" si="206">IFERROR(ROUND(((M124*$W$2)+(M125*$W$3))/100,2),"")</f>
        <v/>
      </c>
      <c r="N126" s="127" t="str">
        <f t="shared" ref="N126" si="207">IFERROR(ROUND(((N124*$W$2)+(N125*$W$3))/100,2),"")</f>
        <v/>
      </c>
      <c r="O126" s="127" t="str">
        <f t="shared" ref="O126" si="208">IFERROR(ROUND(((O124*$W$2)+(O125*$W$3))/100,2),"")</f>
        <v/>
      </c>
      <c r="P126" s="127" t="str">
        <f t="shared" ref="P126" si="209">IFERROR(ROUND(((P124*$W$2)+(P125*$W$3))/100,2),"")</f>
        <v/>
      </c>
      <c r="Q126" s="127" t="str">
        <f t="shared" ref="Q126" si="210">IFERROR(ROUND(((Q124*$W$2)+(Q125*$W$3))/100,2),"")</f>
        <v/>
      </c>
      <c r="R126" s="127" t="str">
        <f t="shared" ref="R126" si="211">IFERROR(ROUND(((R124*$W$2)+(R125*$W$3))/100,2),"")</f>
        <v/>
      </c>
      <c r="S126" s="127" t="str">
        <f t="shared" si="139"/>
        <v/>
      </c>
      <c r="T126" s="127" t="str">
        <f>IFERROR(AVERAGE(J126:R126),"")</f>
        <v/>
      </c>
      <c r="U126" s="76"/>
      <c r="V126" s="76"/>
      <c r="W126" s="258"/>
      <c r="X126" s="55"/>
      <c r="Z126" s="52" t="str">
        <f>IF(T126="","",T126)</f>
        <v/>
      </c>
    </row>
    <row r="127" spans="2:28" ht="19.5" customHeight="1" x14ac:dyDescent="0.3">
      <c r="B127" s="57">
        <f>IF('DATA SISWA &amp; SEK'!A28="","",'DATA SISWA &amp; SEK'!A28)</f>
        <v>25</v>
      </c>
      <c r="C127" s="58"/>
      <c r="D127" s="58"/>
      <c r="E127" s="58"/>
      <c r="F127" s="59"/>
      <c r="G127" s="60">
        <f>IF(B127="","",VLOOKUP(B127,'DATA SISWA &amp; SEK'!$A$4:$H$43,5,FALSE))</f>
        <v>0</v>
      </c>
      <c r="H127" s="61" t="s">
        <v>167</v>
      </c>
      <c r="I127" s="68" t="s">
        <v>165</v>
      </c>
      <c r="J127" s="69"/>
      <c r="K127" s="69"/>
      <c r="L127" s="95"/>
      <c r="M127" s="95"/>
      <c r="N127" s="95"/>
      <c r="O127" s="69"/>
      <c r="P127" s="69"/>
      <c r="Q127" s="69"/>
      <c r="R127" s="69"/>
      <c r="S127" s="62" t="str">
        <f t="shared" ref="S127:S166" si="212">IF(J127="","",SUM(J127:R127))</f>
        <v/>
      </c>
      <c r="T127" s="62" t="str">
        <f>IF(J127="","",AVERAGE(J127:R127))</f>
        <v/>
      </c>
      <c r="U127" s="63"/>
      <c r="V127" s="63"/>
      <c r="W127" s="256" t="str">
        <f>IF(T131="","",RANK(Z131,$Z$11:$Z$206,0))</f>
        <v/>
      </c>
      <c r="Z127" s="55"/>
      <c r="AA127" s="55"/>
      <c r="AB127" s="55"/>
    </row>
    <row r="128" spans="2:28" ht="19.5" customHeight="1" x14ac:dyDescent="0.25">
      <c r="B128" s="57"/>
      <c r="C128" s="58"/>
      <c r="D128" s="58"/>
      <c r="E128" s="58"/>
      <c r="F128" s="65"/>
      <c r="G128" s="66"/>
      <c r="H128" s="67"/>
      <c r="I128" s="68" t="s">
        <v>164</v>
      </c>
      <c r="J128" s="69"/>
      <c r="K128" s="69"/>
      <c r="L128" s="95"/>
      <c r="M128" s="95"/>
      <c r="N128" s="95"/>
      <c r="O128" s="69"/>
      <c r="P128" s="69"/>
      <c r="Q128" s="69"/>
      <c r="R128" s="69"/>
      <c r="S128" s="62" t="str">
        <f t="shared" si="212"/>
        <v/>
      </c>
      <c r="T128" s="62" t="str">
        <f>IF(J128="","",AVERAGE(J128:R128))</f>
        <v/>
      </c>
      <c r="U128" s="63"/>
      <c r="V128" s="63"/>
      <c r="W128" s="257"/>
      <c r="Z128" s="55"/>
      <c r="AA128" s="55"/>
      <c r="AB128" s="55"/>
    </row>
    <row r="129" spans="2:28" ht="29.25" customHeight="1" x14ac:dyDescent="0.25">
      <c r="B129" s="57"/>
      <c r="C129" s="58">
        <f>B127</f>
        <v>25</v>
      </c>
      <c r="D129" s="58"/>
      <c r="E129" s="58"/>
      <c r="F129" s="65"/>
      <c r="G129" s="66"/>
      <c r="H129" s="266" t="s">
        <v>161</v>
      </c>
      <c r="I129" s="267"/>
      <c r="J129" s="216" t="str">
        <f t="shared" ref="J129:R129" si="213">IFERROR(ROUND(AVERAGE(J127:J128),2),"")</f>
        <v/>
      </c>
      <c r="K129" s="216" t="str">
        <f t="shared" si="213"/>
        <v/>
      </c>
      <c r="L129" s="216" t="str">
        <f t="shared" si="213"/>
        <v/>
      </c>
      <c r="M129" s="216" t="str">
        <f t="shared" si="213"/>
        <v/>
      </c>
      <c r="N129" s="216" t="str">
        <f t="shared" si="213"/>
        <v/>
      </c>
      <c r="O129" s="216" t="str">
        <f t="shared" si="213"/>
        <v/>
      </c>
      <c r="P129" s="216" t="str">
        <f t="shared" si="213"/>
        <v/>
      </c>
      <c r="Q129" s="216" t="str">
        <f t="shared" si="213"/>
        <v/>
      </c>
      <c r="R129" s="216" t="str">
        <f t="shared" si="213"/>
        <v/>
      </c>
      <c r="S129" s="216" t="str">
        <f t="shared" si="212"/>
        <v/>
      </c>
      <c r="T129" s="216" t="str">
        <f>IFERROR(ROUND(AVERAGE(J129:R129),2),"")</f>
        <v/>
      </c>
      <c r="U129" s="70"/>
      <c r="V129" s="70"/>
      <c r="W129" s="257"/>
      <c r="X129" s="55"/>
    </row>
    <row r="130" spans="2:28" ht="19.5" customHeight="1" x14ac:dyDescent="0.25">
      <c r="B130" s="57"/>
      <c r="C130" s="58"/>
      <c r="D130" s="58"/>
      <c r="E130" s="58"/>
      <c r="F130" s="65"/>
      <c r="G130" s="66"/>
      <c r="H130" s="268" t="s">
        <v>162</v>
      </c>
      <c r="I130" s="269"/>
      <c r="J130" s="69"/>
      <c r="K130" s="69"/>
      <c r="L130" s="95"/>
      <c r="M130" s="95"/>
      <c r="N130" s="95"/>
      <c r="O130" s="69"/>
      <c r="P130" s="69"/>
      <c r="Q130" s="69"/>
      <c r="R130" s="69"/>
      <c r="S130" s="62" t="str">
        <f t="shared" si="212"/>
        <v/>
      </c>
      <c r="T130" s="62" t="str">
        <f>IF(J130="","",AVERAGE(J130:R130))</f>
        <v/>
      </c>
      <c r="U130" s="71"/>
      <c r="V130" s="71"/>
      <c r="W130" s="257"/>
    </row>
    <row r="131" spans="2:28" ht="19.5" customHeight="1" thickBot="1" x14ac:dyDescent="0.3">
      <c r="B131" s="72"/>
      <c r="C131" s="73"/>
      <c r="D131" s="73">
        <f>B127</f>
        <v>25</v>
      </c>
      <c r="E131" s="73"/>
      <c r="F131" s="74"/>
      <c r="G131" s="75"/>
      <c r="H131" s="264" t="s">
        <v>87</v>
      </c>
      <c r="I131" s="265"/>
      <c r="J131" s="127" t="str">
        <f>IFERROR(ROUND(((J129*$W$2)+(J130*$W$3))/100,2),"")</f>
        <v/>
      </c>
      <c r="K131" s="127" t="str">
        <f t="shared" ref="K131" si="214">IFERROR(ROUND(((K129*$W$2)+(K130*$W$3))/100,2),"")</f>
        <v/>
      </c>
      <c r="L131" s="127" t="str">
        <f t="shared" ref="L131" si="215">IFERROR(ROUND(((L129*$W$2)+(L130*$W$3))/100,2),"")</f>
        <v/>
      </c>
      <c r="M131" s="127" t="str">
        <f t="shared" ref="M131" si="216">IFERROR(ROUND(((M129*$W$2)+(M130*$W$3))/100,2),"")</f>
        <v/>
      </c>
      <c r="N131" s="127" t="str">
        <f t="shared" ref="N131" si="217">IFERROR(ROUND(((N129*$W$2)+(N130*$W$3))/100,2),"")</f>
        <v/>
      </c>
      <c r="O131" s="127" t="str">
        <f t="shared" ref="O131" si="218">IFERROR(ROUND(((O129*$W$2)+(O130*$W$3))/100,2),"")</f>
        <v/>
      </c>
      <c r="P131" s="127" t="str">
        <f t="shared" ref="P131" si="219">IFERROR(ROUND(((P129*$W$2)+(P130*$W$3))/100,2),"")</f>
        <v/>
      </c>
      <c r="Q131" s="127" t="str">
        <f t="shared" ref="Q131" si="220">IFERROR(ROUND(((Q129*$W$2)+(Q130*$W$3))/100,2),"")</f>
        <v/>
      </c>
      <c r="R131" s="127" t="str">
        <f t="shared" ref="R131" si="221">IFERROR(ROUND(((R129*$W$2)+(R130*$W$3))/100,2),"")</f>
        <v/>
      </c>
      <c r="S131" s="127" t="str">
        <f t="shared" si="212"/>
        <v/>
      </c>
      <c r="T131" s="127" t="str">
        <f>IFERROR(AVERAGE(J131:R131),"")</f>
        <v/>
      </c>
      <c r="U131" s="76"/>
      <c r="V131" s="76"/>
      <c r="W131" s="258"/>
      <c r="X131" s="55"/>
      <c r="Z131" s="52" t="str">
        <f>IF(T131="","",T131)</f>
        <v/>
      </c>
    </row>
    <row r="132" spans="2:28" ht="19.5" customHeight="1" x14ac:dyDescent="0.3">
      <c r="B132" s="57">
        <f>IF('DATA SISWA &amp; SEK'!A29="","",'DATA SISWA &amp; SEK'!A29)</f>
        <v>26</v>
      </c>
      <c r="C132" s="58"/>
      <c r="D132" s="58"/>
      <c r="E132" s="58"/>
      <c r="F132" s="59"/>
      <c r="G132" s="60">
        <f>IF(B132="","",VLOOKUP(B132,'DATA SISWA &amp; SEK'!$A$4:$H$43,5,FALSE))</f>
        <v>0</v>
      </c>
      <c r="H132" s="61" t="s">
        <v>167</v>
      </c>
      <c r="I132" s="68" t="s">
        <v>165</v>
      </c>
      <c r="J132" s="69"/>
      <c r="K132" s="69"/>
      <c r="L132" s="95"/>
      <c r="M132" s="95"/>
      <c r="N132" s="95"/>
      <c r="O132" s="69"/>
      <c r="P132" s="69"/>
      <c r="Q132" s="69"/>
      <c r="R132" s="69"/>
      <c r="S132" s="62" t="str">
        <f t="shared" si="212"/>
        <v/>
      </c>
      <c r="T132" s="62" t="str">
        <f>IF(J132="","",AVERAGE(J132:R132))</f>
        <v/>
      </c>
      <c r="U132" s="63"/>
      <c r="V132" s="63"/>
      <c r="W132" s="256" t="str">
        <f>IF(T136="","",RANK(Z136,$Z$11:$Z$206,0))</f>
        <v/>
      </c>
      <c r="Z132" s="77"/>
      <c r="AA132" s="77"/>
      <c r="AB132" s="77"/>
    </row>
    <row r="133" spans="2:28" ht="19.5" customHeight="1" x14ac:dyDescent="0.25">
      <c r="B133" s="57"/>
      <c r="C133" s="58"/>
      <c r="D133" s="58"/>
      <c r="E133" s="58"/>
      <c r="F133" s="65"/>
      <c r="G133" s="66"/>
      <c r="H133" s="67"/>
      <c r="I133" s="68" t="s">
        <v>164</v>
      </c>
      <c r="J133" s="69"/>
      <c r="K133" s="69"/>
      <c r="L133" s="95"/>
      <c r="M133" s="95"/>
      <c r="N133" s="95"/>
      <c r="O133" s="69"/>
      <c r="P133" s="69"/>
      <c r="Q133" s="69"/>
      <c r="R133" s="69"/>
      <c r="S133" s="62" t="str">
        <f t="shared" si="212"/>
        <v/>
      </c>
      <c r="T133" s="62" t="str">
        <f>IF(J133="","",AVERAGE(J133:R133))</f>
        <v/>
      </c>
      <c r="U133" s="63"/>
      <c r="V133" s="63"/>
      <c r="W133" s="257"/>
      <c r="Z133" s="77"/>
      <c r="AA133" s="77"/>
      <c r="AB133" s="77"/>
    </row>
    <row r="134" spans="2:28" ht="27.75" customHeight="1" x14ac:dyDescent="0.25">
      <c r="B134" s="57"/>
      <c r="C134" s="58">
        <f>B132</f>
        <v>26</v>
      </c>
      <c r="D134" s="58"/>
      <c r="E134" s="58"/>
      <c r="F134" s="65"/>
      <c r="G134" s="66"/>
      <c r="H134" s="266" t="s">
        <v>161</v>
      </c>
      <c r="I134" s="267"/>
      <c r="J134" s="216" t="str">
        <f t="shared" ref="J134:R134" si="222">IFERROR(ROUND(AVERAGE(J132:J133),2),"")</f>
        <v/>
      </c>
      <c r="K134" s="216" t="str">
        <f t="shared" si="222"/>
        <v/>
      </c>
      <c r="L134" s="216" t="str">
        <f t="shared" si="222"/>
        <v/>
      </c>
      <c r="M134" s="216" t="str">
        <f t="shared" si="222"/>
        <v/>
      </c>
      <c r="N134" s="216" t="str">
        <f t="shared" si="222"/>
        <v/>
      </c>
      <c r="O134" s="216" t="str">
        <f t="shared" si="222"/>
        <v/>
      </c>
      <c r="P134" s="216" t="str">
        <f t="shared" si="222"/>
        <v/>
      </c>
      <c r="Q134" s="216" t="str">
        <f t="shared" si="222"/>
        <v/>
      </c>
      <c r="R134" s="216" t="str">
        <f t="shared" si="222"/>
        <v/>
      </c>
      <c r="S134" s="216" t="str">
        <f t="shared" si="212"/>
        <v/>
      </c>
      <c r="T134" s="216" t="str">
        <f>IFERROR(ROUND(AVERAGE(J134:R134),2),"")</f>
        <v/>
      </c>
      <c r="U134" s="70"/>
      <c r="V134" s="70"/>
      <c r="W134" s="257"/>
      <c r="X134" s="55"/>
    </row>
    <row r="135" spans="2:28" ht="19.5" customHeight="1" x14ac:dyDescent="0.25">
      <c r="B135" s="57"/>
      <c r="C135" s="58"/>
      <c r="D135" s="58"/>
      <c r="E135" s="58"/>
      <c r="F135" s="65"/>
      <c r="G135" s="66"/>
      <c r="H135" s="268" t="s">
        <v>162</v>
      </c>
      <c r="I135" s="269"/>
      <c r="J135" s="69"/>
      <c r="K135" s="69"/>
      <c r="L135" s="95"/>
      <c r="M135" s="95"/>
      <c r="N135" s="95"/>
      <c r="O135" s="69"/>
      <c r="P135" s="69"/>
      <c r="Q135" s="69"/>
      <c r="R135" s="69"/>
      <c r="S135" s="62" t="str">
        <f t="shared" si="212"/>
        <v/>
      </c>
      <c r="T135" s="62" t="str">
        <f>IF(J135="","",AVERAGE(J135:R135))</f>
        <v/>
      </c>
      <c r="U135" s="71"/>
      <c r="V135" s="71"/>
      <c r="W135" s="257"/>
    </row>
    <row r="136" spans="2:28" ht="27" customHeight="1" thickBot="1" x14ac:dyDescent="0.3">
      <c r="B136" s="72"/>
      <c r="C136" s="73"/>
      <c r="D136" s="73">
        <f>B132</f>
        <v>26</v>
      </c>
      <c r="E136" s="73"/>
      <c r="F136" s="74"/>
      <c r="G136" s="75"/>
      <c r="H136" s="264" t="s">
        <v>87</v>
      </c>
      <c r="I136" s="265"/>
      <c r="J136" s="127" t="str">
        <f>IFERROR(ROUND(((J134*$W$2)+(J135*$W$3))/100,2),"")</f>
        <v/>
      </c>
      <c r="K136" s="127" t="str">
        <f t="shared" ref="K136" si="223">IFERROR(ROUND(((K134*$W$2)+(K135*$W$3))/100,2),"")</f>
        <v/>
      </c>
      <c r="L136" s="127" t="str">
        <f t="shared" ref="L136" si="224">IFERROR(ROUND(((L134*$W$2)+(L135*$W$3))/100,2),"")</f>
        <v/>
      </c>
      <c r="M136" s="127" t="str">
        <f t="shared" ref="M136" si="225">IFERROR(ROUND(((M134*$W$2)+(M135*$W$3))/100,2),"")</f>
        <v/>
      </c>
      <c r="N136" s="127" t="str">
        <f t="shared" ref="N136" si="226">IFERROR(ROUND(((N134*$W$2)+(N135*$W$3))/100,2),"")</f>
        <v/>
      </c>
      <c r="O136" s="127" t="str">
        <f t="shared" ref="O136" si="227">IFERROR(ROUND(((O134*$W$2)+(O135*$W$3))/100,2),"")</f>
        <v/>
      </c>
      <c r="P136" s="127" t="str">
        <f t="shared" ref="P136" si="228">IFERROR(ROUND(((P134*$W$2)+(P135*$W$3))/100,2),"")</f>
        <v/>
      </c>
      <c r="Q136" s="127" t="str">
        <f t="shared" ref="Q136" si="229">IFERROR(ROUND(((Q134*$W$2)+(Q135*$W$3))/100,2),"")</f>
        <v/>
      </c>
      <c r="R136" s="127" t="str">
        <f t="shared" ref="R136" si="230">IFERROR(ROUND(((R134*$W$2)+(R135*$W$3))/100,2),"")</f>
        <v/>
      </c>
      <c r="S136" s="127" t="str">
        <f t="shared" si="212"/>
        <v/>
      </c>
      <c r="T136" s="127" t="str">
        <f>IFERROR(AVERAGE(J136:R136),"")</f>
        <v/>
      </c>
      <c r="U136" s="76"/>
      <c r="V136" s="76"/>
      <c r="W136" s="258"/>
      <c r="X136" s="55"/>
      <c r="Z136" s="52" t="str">
        <f>IF(T136="","",T136)</f>
        <v/>
      </c>
    </row>
    <row r="137" spans="2:28" ht="19.5" customHeight="1" x14ac:dyDescent="0.3">
      <c r="B137" s="57">
        <f>IF('DATA SISWA &amp; SEK'!A30="","",'DATA SISWA &amp; SEK'!A30)</f>
        <v>27</v>
      </c>
      <c r="C137" s="58"/>
      <c r="D137" s="58"/>
      <c r="E137" s="58"/>
      <c r="F137" s="59"/>
      <c r="G137" s="60">
        <f>IF(B137="","",VLOOKUP(B137,'DATA SISWA &amp; SEK'!$A$4:$H$43,5,FALSE))</f>
        <v>0</v>
      </c>
      <c r="H137" s="61" t="s">
        <v>167</v>
      </c>
      <c r="I137" s="68" t="s">
        <v>165</v>
      </c>
      <c r="J137" s="69"/>
      <c r="K137" s="69"/>
      <c r="L137" s="95"/>
      <c r="M137" s="95"/>
      <c r="N137" s="95"/>
      <c r="O137" s="69"/>
      <c r="P137" s="69"/>
      <c r="Q137" s="69"/>
      <c r="R137" s="69"/>
      <c r="S137" s="62" t="str">
        <f t="shared" si="212"/>
        <v/>
      </c>
      <c r="T137" s="62" t="str">
        <f>IF(J137="","",AVERAGE(J137:R137))</f>
        <v/>
      </c>
      <c r="U137" s="63"/>
      <c r="V137" s="63"/>
      <c r="W137" s="256" t="str">
        <f>IF(T141="","",RANK(Z141,$Z$11:$Z$206,0))</f>
        <v/>
      </c>
      <c r="Z137" s="77"/>
      <c r="AA137" s="77"/>
      <c r="AB137" s="77"/>
    </row>
    <row r="138" spans="2:28" ht="19.5" customHeight="1" x14ac:dyDescent="0.25">
      <c r="B138" s="57"/>
      <c r="C138" s="58"/>
      <c r="D138" s="58"/>
      <c r="E138" s="58"/>
      <c r="F138" s="65"/>
      <c r="G138" s="66"/>
      <c r="H138" s="67"/>
      <c r="I138" s="68" t="s">
        <v>164</v>
      </c>
      <c r="J138" s="69"/>
      <c r="K138" s="69"/>
      <c r="L138" s="95"/>
      <c r="M138" s="95"/>
      <c r="N138" s="95"/>
      <c r="O138" s="69"/>
      <c r="P138" s="69"/>
      <c r="Q138" s="69"/>
      <c r="R138" s="69"/>
      <c r="S138" s="62" t="str">
        <f t="shared" si="212"/>
        <v/>
      </c>
      <c r="T138" s="62" t="str">
        <f>IF(J138="","",AVERAGE(J138:R138))</f>
        <v/>
      </c>
      <c r="U138" s="63"/>
      <c r="V138" s="63"/>
      <c r="W138" s="257"/>
      <c r="Z138" s="77"/>
      <c r="AA138" s="77"/>
      <c r="AB138" s="77"/>
    </row>
    <row r="139" spans="2:28" ht="28.5" customHeight="1" x14ac:dyDescent="0.25">
      <c r="B139" s="57"/>
      <c r="C139" s="58">
        <f>B137</f>
        <v>27</v>
      </c>
      <c r="D139" s="58"/>
      <c r="E139" s="58"/>
      <c r="F139" s="65"/>
      <c r="G139" s="66"/>
      <c r="H139" s="266" t="s">
        <v>161</v>
      </c>
      <c r="I139" s="267"/>
      <c r="J139" s="216" t="str">
        <f t="shared" ref="J139:R139" si="231">IFERROR(ROUND(AVERAGE(J137:J138),2),"")</f>
        <v/>
      </c>
      <c r="K139" s="216" t="str">
        <f t="shared" si="231"/>
        <v/>
      </c>
      <c r="L139" s="216" t="str">
        <f t="shared" si="231"/>
        <v/>
      </c>
      <c r="M139" s="216" t="str">
        <f t="shared" si="231"/>
        <v/>
      </c>
      <c r="N139" s="216" t="str">
        <f t="shared" si="231"/>
        <v/>
      </c>
      <c r="O139" s="216" t="str">
        <f t="shared" si="231"/>
        <v/>
      </c>
      <c r="P139" s="216" t="str">
        <f t="shared" si="231"/>
        <v/>
      </c>
      <c r="Q139" s="216" t="str">
        <f t="shared" si="231"/>
        <v/>
      </c>
      <c r="R139" s="216" t="str">
        <f t="shared" si="231"/>
        <v/>
      </c>
      <c r="S139" s="216" t="str">
        <f t="shared" si="212"/>
        <v/>
      </c>
      <c r="T139" s="216" t="str">
        <f>IFERROR(ROUND(AVERAGE(J139:R139),2),"")</f>
        <v/>
      </c>
      <c r="U139" s="70"/>
      <c r="V139" s="70"/>
      <c r="W139" s="257"/>
      <c r="X139" s="55"/>
    </row>
    <row r="140" spans="2:28" ht="19.5" customHeight="1" x14ac:dyDescent="0.25">
      <c r="B140" s="57"/>
      <c r="C140" s="58"/>
      <c r="D140" s="58"/>
      <c r="E140" s="58"/>
      <c r="F140" s="65"/>
      <c r="G140" s="66"/>
      <c r="H140" s="268" t="s">
        <v>162</v>
      </c>
      <c r="I140" s="269"/>
      <c r="J140" s="69"/>
      <c r="K140" s="69"/>
      <c r="L140" s="95"/>
      <c r="M140" s="95"/>
      <c r="N140" s="95"/>
      <c r="O140" s="69"/>
      <c r="P140" s="69"/>
      <c r="Q140" s="69"/>
      <c r="R140" s="69"/>
      <c r="S140" s="62" t="str">
        <f t="shared" si="212"/>
        <v/>
      </c>
      <c r="T140" s="62" t="str">
        <f>IF(J140="","",AVERAGE(J140:R140))</f>
        <v/>
      </c>
      <c r="U140" s="71"/>
      <c r="V140" s="71"/>
      <c r="W140" s="257"/>
    </row>
    <row r="141" spans="2:28" ht="19.5" customHeight="1" thickBot="1" x14ac:dyDescent="0.3">
      <c r="B141" s="72"/>
      <c r="C141" s="73"/>
      <c r="D141" s="73">
        <f>B137</f>
        <v>27</v>
      </c>
      <c r="E141" s="73"/>
      <c r="F141" s="74"/>
      <c r="G141" s="75"/>
      <c r="H141" s="264" t="s">
        <v>87</v>
      </c>
      <c r="I141" s="265"/>
      <c r="J141" s="127" t="str">
        <f>IFERROR(ROUND(((J139*$W$2)+(J140*$W$3))/100,2),"")</f>
        <v/>
      </c>
      <c r="K141" s="127" t="str">
        <f t="shared" ref="K141" si="232">IFERROR(ROUND(((K139*$W$2)+(K140*$W$3))/100,2),"")</f>
        <v/>
      </c>
      <c r="L141" s="127" t="str">
        <f t="shared" ref="L141" si="233">IFERROR(ROUND(((L139*$W$2)+(L140*$W$3))/100,2),"")</f>
        <v/>
      </c>
      <c r="M141" s="127" t="str">
        <f t="shared" ref="M141" si="234">IFERROR(ROUND(((M139*$W$2)+(M140*$W$3))/100,2),"")</f>
        <v/>
      </c>
      <c r="N141" s="127" t="str">
        <f t="shared" ref="N141" si="235">IFERROR(ROUND(((N139*$W$2)+(N140*$W$3))/100,2),"")</f>
        <v/>
      </c>
      <c r="O141" s="127" t="str">
        <f t="shared" ref="O141" si="236">IFERROR(ROUND(((O139*$W$2)+(O140*$W$3))/100,2),"")</f>
        <v/>
      </c>
      <c r="P141" s="127" t="str">
        <f t="shared" ref="P141" si="237">IFERROR(ROUND(((P139*$W$2)+(P140*$W$3))/100,2),"")</f>
        <v/>
      </c>
      <c r="Q141" s="127" t="str">
        <f t="shared" ref="Q141" si="238">IFERROR(ROUND(((Q139*$W$2)+(Q140*$W$3))/100,2),"")</f>
        <v/>
      </c>
      <c r="R141" s="127" t="str">
        <f t="shared" ref="R141" si="239">IFERROR(ROUND(((R139*$W$2)+(R140*$W$3))/100,2),"")</f>
        <v/>
      </c>
      <c r="S141" s="127" t="str">
        <f t="shared" si="212"/>
        <v/>
      </c>
      <c r="T141" s="127" t="str">
        <f>IFERROR(AVERAGE(J141:R141),"")</f>
        <v/>
      </c>
      <c r="U141" s="76"/>
      <c r="V141" s="76"/>
      <c r="W141" s="258"/>
      <c r="X141" s="55"/>
      <c r="Z141" s="52" t="str">
        <f>IF(T141="","",T141)</f>
        <v/>
      </c>
    </row>
    <row r="142" spans="2:28" ht="19.5" customHeight="1" x14ac:dyDescent="0.3">
      <c r="B142" s="57">
        <f>IF('DATA SISWA &amp; SEK'!A31="","",'DATA SISWA &amp; SEK'!A31)</f>
        <v>28</v>
      </c>
      <c r="C142" s="58"/>
      <c r="D142" s="58"/>
      <c r="E142" s="58"/>
      <c r="F142" s="59"/>
      <c r="G142" s="60">
        <f>IF(B142="","",VLOOKUP(B142,'DATA SISWA &amp; SEK'!$A$4:$H$43,5,FALSE))</f>
        <v>0</v>
      </c>
      <c r="H142" s="61" t="s">
        <v>167</v>
      </c>
      <c r="I142" s="68" t="s">
        <v>165</v>
      </c>
      <c r="J142" s="69"/>
      <c r="K142" s="69"/>
      <c r="L142" s="95"/>
      <c r="M142" s="95"/>
      <c r="N142" s="95"/>
      <c r="O142" s="69"/>
      <c r="P142" s="69"/>
      <c r="Q142" s="69"/>
      <c r="R142" s="69"/>
      <c r="S142" s="62" t="str">
        <f t="shared" si="212"/>
        <v/>
      </c>
      <c r="T142" s="62" t="str">
        <f>IF(J142="","",AVERAGE(J142:R142))</f>
        <v/>
      </c>
      <c r="U142" s="63"/>
      <c r="V142" s="63"/>
      <c r="W142" s="256" t="str">
        <f>IF(T146="","",RANK(Z146,$Z$11:$Z$206,0))</f>
        <v/>
      </c>
      <c r="Z142" s="77"/>
      <c r="AA142" s="77"/>
      <c r="AB142" s="77"/>
    </row>
    <row r="143" spans="2:28" ht="19.5" customHeight="1" x14ac:dyDescent="0.25">
      <c r="B143" s="57"/>
      <c r="C143" s="58"/>
      <c r="D143" s="58"/>
      <c r="E143" s="58"/>
      <c r="F143" s="65"/>
      <c r="G143" s="66"/>
      <c r="H143" s="67"/>
      <c r="I143" s="68" t="s">
        <v>164</v>
      </c>
      <c r="J143" s="69"/>
      <c r="K143" s="69"/>
      <c r="L143" s="95"/>
      <c r="M143" s="95"/>
      <c r="N143" s="95"/>
      <c r="O143" s="69"/>
      <c r="P143" s="69"/>
      <c r="Q143" s="69"/>
      <c r="R143" s="69"/>
      <c r="S143" s="62" t="str">
        <f t="shared" si="212"/>
        <v/>
      </c>
      <c r="T143" s="62" t="str">
        <f>IF(J143="","",AVERAGE(J143:R143))</f>
        <v/>
      </c>
      <c r="U143" s="63"/>
      <c r="V143" s="63"/>
      <c r="W143" s="257"/>
      <c r="Z143" s="77"/>
      <c r="AA143" s="77"/>
      <c r="AB143" s="77"/>
    </row>
    <row r="144" spans="2:28" ht="32.25" customHeight="1" x14ac:dyDescent="0.25">
      <c r="B144" s="57"/>
      <c r="C144" s="58">
        <f>B142</f>
        <v>28</v>
      </c>
      <c r="D144" s="58"/>
      <c r="E144" s="58"/>
      <c r="F144" s="65"/>
      <c r="G144" s="66"/>
      <c r="H144" s="266" t="s">
        <v>161</v>
      </c>
      <c r="I144" s="267"/>
      <c r="J144" s="216" t="str">
        <f t="shared" ref="J144:R144" si="240">IFERROR(ROUND(AVERAGE(J142:J143),2),"")</f>
        <v/>
      </c>
      <c r="K144" s="216" t="str">
        <f t="shared" si="240"/>
        <v/>
      </c>
      <c r="L144" s="216" t="str">
        <f t="shared" si="240"/>
        <v/>
      </c>
      <c r="M144" s="216" t="str">
        <f t="shared" si="240"/>
        <v/>
      </c>
      <c r="N144" s="216" t="str">
        <f t="shared" si="240"/>
        <v/>
      </c>
      <c r="O144" s="216" t="str">
        <f t="shared" si="240"/>
        <v/>
      </c>
      <c r="P144" s="216" t="str">
        <f t="shared" si="240"/>
        <v/>
      </c>
      <c r="Q144" s="216" t="str">
        <f t="shared" si="240"/>
        <v/>
      </c>
      <c r="R144" s="216" t="str">
        <f t="shared" si="240"/>
        <v/>
      </c>
      <c r="S144" s="216" t="str">
        <f t="shared" si="212"/>
        <v/>
      </c>
      <c r="T144" s="216" t="str">
        <f>IFERROR(ROUND(AVERAGE(J144:R144),2),"")</f>
        <v/>
      </c>
      <c r="U144" s="70"/>
      <c r="V144" s="70"/>
      <c r="W144" s="257"/>
      <c r="X144" s="55"/>
    </row>
    <row r="145" spans="2:28" ht="19.5" customHeight="1" x14ac:dyDescent="0.25">
      <c r="B145" s="57"/>
      <c r="C145" s="58"/>
      <c r="D145" s="58"/>
      <c r="E145" s="58"/>
      <c r="F145" s="65"/>
      <c r="G145" s="66"/>
      <c r="H145" s="268" t="s">
        <v>162</v>
      </c>
      <c r="I145" s="269"/>
      <c r="J145" s="69"/>
      <c r="K145" s="69"/>
      <c r="L145" s="95"/>
      <c r="M145" s="95"/>
      <c r="N145" s="95"/>
      <c r="O145" s="69"/>
      <c r="P145" s="69"/>
      <c r="Q145" s="69"/>
      <c r="R145" s="69"/>
      <c r="S145" s="62" t="str">
        <f t="shared" si="212"/>
        <v/>
      </c>
      <c r="T145" s="62" t="str">
        <f>IF(J145="","",AVERAGE(J145:R145))</f>
        <v/>
      </c>
      <c r="U145" s="71"/>
      <c r="V145" s="71"/>
      <c r="W145" s="257"/>
      <c r="Z145" s="77"/>
      <c r="AA145" s="77"/>
      <c r="AB145" s="77"/>
    </row>
    <row r="146" spans="2:28" ht="27.75" customHeight="1" thickBot="1" x14ac:dyDescent="0.3">
      <c r="B146" s="72"/>
      <c r="C146" s="73"/>
      <c r="D146" s="73">
        <f>B142</f>
        <v>28</v>
      </c>
      <c r="E146" s="73"/>
      <c r="F146" s="74"/>
      <c r="G146" s="75"/>
      <c r="H146" s="264" t="s">
        <v>87</v>
      </c>
      <c r="I146" s="265"/>
      <c r="J146" s="127" t="str">
        <f>IFERROR(ROUND(((J144*$W$2)+(J145*$W$3))/100,2),"")</f>
        <v/>
      </c>
      <c r="K146" s="127" t="str">
        <f t="shared" ref="K146" si="241">IFERROR(ROUND(((K144*$W$2)+(K145*$W$3))/100,2),"")</f>
        <v/>
      </c>
      <c r="L146" s="127" t="str">
        <f t="shared" ref="L146" si="242">IFERROR(ROUND(((L144*$W$2)+(L145*$W$3))/100,2),"")</f>
        <v/>
      </c>
      <c r="M146" s="127" t="str">
        <f t="shared" ref="M146" si="243">IFERROR(ROUND(((M144*$W$2)+(M145*$W$3))/100,2),"")</f>
        <v/>
      </c>
      <c r="N146" s="127" t="str">
        <f t="shared" ref="N146" si="244">IFERROR(ROUND(((N144*$W$2)+(N145*$W$3))/100,2),"")</f>
        <v/>
      </c>
      <c r="O146" s="127" t="str">
        <f t="shared" ref="O146" si="245">IFERROR(ROUND(((O144*$W$2)+(O145*$W$3))/100,2),"")</f>
        <v/>
      </c>
      <c r="P146" s="127" t="str">
        <f t="shared" ref="P146" si="246">IFERROR(ROUND(((P144*$W$2)+(P145*$W$3))/100,2),"")</f>
        <v/>
      </c>
      <c r="Q146" s="127" t="str">
        <f t="shared" ref="Q146" si="247">IFERROR(ROUND(((Q144*$W$2)+(Q145*$W$3))/100,2),"")</f>
        <v/>
      </c>
      <c r="R146" s="127" t="str">
        <f t="shared" ref="R146" si="248">IFERROR(ROUND(((R144*$W$2)+(R145*$W$3))/100,2),"")</f>
        <v/>
      </c>
      <c r="S146" s="127" t="str">
        <f t="shared" si="212"/>
        <v/>
      </c>
      <c r="T146" s="127" t="str">
        <f>IFERROR(AVERAGE(J146:R146),"")</f>
        <v/>
      </c>
      <c r="U146" s="76"/>
      <c r="V146" s="76"/>
      <c r="W146" s="258"/>
      <c r="X146" s="55"/>
      <c r="Z146" s="52" t="str">
        <f>IF(T146="","",T146)</f>
        <v/>
      </c>
    </row>
    <row r="147" spans="2:28" ht="20.25" customHeight="1" x14ac:dyDescent="0.3">
      <c r="B147" s="57">
        <f>IF('DATA SISWA &amp; SEK'!A32="","",'DATA SISWA &amp; SEK'!A32)</f>
        <v>29</v>
      </c>
      <c r="C147" s="58"/>
      <c r="D147" s="58"/>
      <c r="E147" s="58"/>
      <c r="F147" s="59"/>
      <c r="G147" s="60">
        <f>IF(B147="","",VLOOKUP(B147,'DATA SISWA &amp; SEK'!$A$4:$H$43,5,FALSE))</f>
        <v>0</v>
      </c>
      <c r="H147" s="61" t="s">
        <v>167</v>
      </c>
      <c r="I147" s="68" t="s">
        <v>165</v>
      </c>
      <c r="J147" s="69"/>
      <c r="K147" s="69"/>
      <c r="L147" s="95"/>
      <c r="M147" s="95"/>
      <c r="N147" s="95"/>
      <c r="O147" s="69"/>
      <c r="P147" s="69"/>
      <c r="Q147" s="69"/>
      <c r="R147" s="69"/>
      <c r="S147" s="62" t="str">
        <f t="shared" si="212"/>
        <v/>
      </c>
      <c r="T147" s="62" t="str">
        <f>IF(J147="","",AVERAGE(J147:R147))</f>
        <v/>
      </c>
      <c r="U147" s="63"/>
      <c r="V147" s="63"/>
      <c r="W147" s="256" t="str">
        <f>IF(T151="","",RANK(Z151,$Z$11:$Z$206,0))</f>
        <v/>
      </c>
      <c r="Z147" s="77"/>
      <c r="AA147" s="77"/>
      <c r="AB147" s="77"/>
    </row>
    <row r="148" spans="2:28" ht="20.25" customHeight="1" x14ac:dyDescent="0.25">
      <c r="B148" s="57"/>
      <c r="C148" s="58"/>
      <c r="D148" s="58"/>
      <c r="E148" s="58"/>
      <c r="F148" s="65"/>
      <c r="G148" s="66"/>
      <c r="H148" s="67"/>
      <c r="I148" s="68" t="s">
        <v>164</v>
      </c>
      <c r="J148" s="69"/>
      <c r="K148" s="69"/>
      <c r="L148" s="95"/>
      <c r="M148" s="95"/>
      <c r="N148" s="95"/>
      <c r="O148" s="69"/>
      <c r="P148" s="69"/>
      <c r="Q148" s="69"/>
      <c r="R148" s="69"/>
      <c r="S148" s="62" t="str">
        <f t="shared" si="212"/>
        <v/>
      </c>
      <c r="T148" s="62" t="str">
        <f>IF(J148="","",AVERAGE(J148:R148))</f>
        <v/>
      </c>
      <c r="U148" s="63"/>
      <c r="V148" s="63"/>
      <c r="W148" s="257"/>
      <c r="Z148" s="77"/>
      <c r="AA148" s="77"/>
      <c r="AB148" s="77"/>
    </row>
    <row r="149" spans="2:28" ht="20.25" customHeight="1" x14ac:dyDescent="0.25">
      <c r="B149" s="57"/>
      <c r="C149" s="58">
        <f>B147</f>
        <v>29</v>
      </c>
      <c r="D149" s="58"/>
      <c r="E149" s="58"/>
      <c r="F149" s="65"/>
      <c r="G149" s="66"/>
      <c r="H149" s="266" t="s">
        <v>161</v>
      </c>
      <c r="I149" s="267"/>
      <c r="J149" s="216" t="str">
        <f t="shared" ref="J149:R149" si="249">IFERROR(ROUND(AVERAGE(J147:J148),2),"")</f>
        <v/>
      </c>
      <c r="K149" s="216" t="str">
        <f t="shared" si="249"/>
        <v/>
      </c>
      <c r="L149" s="216" t="str">
        <f t="shared" si="249"/>
        <v/>
      </c>
      <c r="M149" s="216" t="str">
        <f t="shared" si="249"/>
        <v/>
      </c>
      <c r="N149" s="216" t="str">
        <f t="shared" si="249"/>
        <v/>
      </c>
      <c r="O149" s="216" t="str">
        <f t="shared" si="249"/>
        <v/>
      </c>
      <c r="P149" s="216" t="str">
        <f t="shared" si="249"/>
        <v/>
      </c>
      <c r="Q149" s="216" t="str">
        <f t="shared" si="249"/>
        <v/>
      </c>
      <c r="R149" s="216" t="str">
        <f t="shared" si="249"/>
        <v/>
      </c>
      <c r="S149" s="216" t="str">
        <f t="shared" si="212"/>
        <v/>
      </c>
      <c r="T149" s="216" t="str">
        <f>IFERROR(ROUND(AVERAGE(J149:R149),2),"")</f>
        <v/>
      </c>
      <c r="U149" s="70"/>
      <c r="V149" s="70"/>
      <c r="W149" s="257"/>
      <c r="X149" s="55"/>
    </row>
    <row r="150" spans="2:28" ht="20.25" customHeight="1" x14ac:dyDescent="0.25">
      <c r="B150" s="57"/>
      <c r="C150" s="58"/>
      <c r="D150" s="58"/>
      <c r="E150" s="58"/>
      <c r="F150" s="65"/>
      <c r="G150" s="66"/>
      <c r="H150" s="268" t="s">
        <v>162</v>
      </c>
      <c r="I150" s="269"/>
      <c r="J150" s="69"/>
      <c r="K150" s="69"/>
      <c r="L150" s="95"/>
      <c r="M150" s="95"/>
      <c r="N150" s="95"/>
      <c r="O150" s="69"/>
      <c r="P150" s="69"/>
      <c r="Q150" s="69"/>
      <c r="R150" s="69"/>
      <c r="S150" s="62" t="str">
        <f t="shared" si="212"/>
        <v/>
      </c>
      <c r="T150" s="62" t="str">
        <f>IF(J150="","",AVERAGE(J150:R150))</f>
        <v/>
      </c>
      <c r="U150" s="71"/>
      <c r="V150" s="71"/>
      <c r="W150" s="257"/>
      <c r="Z150" s="77"/>
      <c r="AA150" s="77"/>
      <c r="AB150" s="77"/>
    </row>
    <row r="151" spans="2:28" ht="27" customHeight="1" thickBot="1" x14ac:dyDescent="0.3">
      <c r="B151" s="72"/>
      <c r="C151" s="73"/>
      <c r="D151" s="73">
        <f>B147</f>
        <v>29</v>
      </c>
      <c r="E151" s="73"/>
      <c r="F151" s="74"/>
      <c r="G151" s="75"/>
      <c r="H151" s="264" t="s">
        <v>87</v>
      </c>
      <c r="I151" s="265"/>
      <c r="J151" s="127" t="str">
        <f>IFERROR(ROUND(((J149*$W$2)+(J150*$W$3))/100,2),"")</f>
        <v/>
      </c>
      <c r="K151" s="127" t="str">
        <f t="shared" ref="K151" si="250">IFERROR(ROUND(((K149*$W$2)+(K150*$W$3))/100,2),"")</f>
        <v/>
      </c>
      <c r="L151" s="127" t="str">
        <f t="shared" ref="L151" si="251">IFERROR(ROUND(((L149*$W$2)+(L150*$W$3))/100,2),"")</f>
        <v/>
      </c>
      <c r="M151" s="127" t="str">
        <f t="shared" ref="M151" si="252">IFERROR(ROUND(((M149*$W$2)+(M150*$W$3))/100,2),"")</f>
        <v/>
      </c>
      <c r="N151" s="127" t="str">
        <f t="shared" ref="N151" si="253">IFERROR(ROUND(((N149*$W$2)+(N150*$W$3))/100,2),"")</f>
        <v/>
      </c>
      <c r="O151" s="127" t="str">
        <f t="shared" ref="O151" si="254">IFERROR(ROUND(((O149*$W$2)+(O150*$W$3))/100,2),"")</f>
        <v/>
      </c>
      <c r="P151" s="127" t="str">
        <f t="shared" ref="P151" si="255">IFERROR(ROUND(((P149*$W$2)+(P150*$W$3))/100,2),"")</f>
        <v/>
      </c>
      <c r="Q151" s="127" t="str">
        <f t="shared" ref="Q151" si="256">IFERROR(ROUND(((Q149*$W$2)+(Q150*$W$3))/100,2),"")</f>
        <v/>
      </c>
      <c r="R151" s="127" t="str">
        <f t="shared" ref="R151" si="257">IFERROR(ROUND(((R149*$W$2)+(R150*$W$3))/100,2),"")</f>
        <v/>
      </c>
      <c r="S151" s="127" t="str">
        <f t="shared" si="212"/>
        <v/>
      </c>
      <c r="T151" s="127" t="str">
        <f>IFERROR(AVERAGE(J151:R151),"")</f>
        <v/>
      </c>
      <c r="U151" s="76"/>
      <c r="V151" s="76"/>
      <c r="W151" s="258"/>
      <c r="X151" s="55"/>
      <c r="Z151" s="52" t="str">
        <f>IF(T151="","",T151)</f>
        <v/>
      </c>
    </row>
    <row r="152" spans="2:28" ht="20.25" customHeight="1" x14ac:dyDescent="0.3">
      <c r="B152" s="57">
        <f>IF('DATA SISWA &amp; SEK'!A33="","",'DATA SISWA &amp; SEK'!A33)</f>
        <v>30</v>
      </c>
      <c r="C152" s="58"/>
      <c r="D152" s="58"/>
      <c r="E152" s="58"/>
      <c r="F152" s="59"/>
      <c r="G152" s="60">
        <f>IF(B152="","",VLOOKUP(B152,'DATA SISWA &amp; SEK'!$A$4:$H$43,5,FALSE))</f>
        <v>0</v>
      </c>
      <c r="H152" s="61" t="s">
        <v>167</v>
      </c>
      <c r="I152" s="68" t="s">
        <v>165</v>
      </c>
      <c r="J152" s="69"/>
      <c r="K152" s="69"/>
      <c r="L152" s="95"/>
      <c r="M152" s="95"/>
      <c r="N152" s="95"/>
      <c r="O152" s="69"/>
      <c r="P152" s="69"/>
      <c r="Q152" s="69"/>
      <c r="R152" s="69"/>
      <c r="S152" s="62" t="str">
        <f t="shared" si="212"/>
        <v/>
      </c>
      <c r="T152" s="62" t="str">
        <f>IF(J152="","",AVERAGE(J152:R152))</f>
        <v/>
      </c>
      <c r="U152" s="63"/>
      <c r="V152" s="63"/>
      <c r="W152" s="256" t="str">
        <f>IF(T156="","",RANK(Z156,$Z$11:$Z$206,0))</f>
        <v/>
      </c>
      <c r="Z152" s="77"/>
      <c r="AA152" s="77"/>
      <c r="AB152" s="77"/>
    </row>
    <row r="153" spans="2:28" ht="20.25" customHeight="1" x14ac:dyDescent="0.25">
      <c r="B153" s="57"/>
      <c r="C153" s="58"/>
      <c r="D153" s="58"/>
      <c r="E153" s="58"/>
      <c r="F153" s="65"/>
      <c r="G153" s="66"/>
      <c r="H153" s="67"/>
      <c r="I153" s="68" t="s">
        <v>164</v>
      </c>
      <c r="J153" s="69"/>
      <c r="K153" s="69"/>
      <c r="L153" s="95"/>
      <c r="M153" s="95"/>
      <c r="N153" s="95"/>
      <c r="O153" s="69"/>
      <c r="P153" s="69"/>
      <c r="Q153" s="69"/>
      <c r="R153" s="69"/>
      <c r="S153" s="62" t="str">
        <f t="shared" si="212"/>
        <v/>
      </c>
      <c r="T153" s="62" t="str">
        <f>IF(J153="","",AVERAGE(J153:R153))</f>
        <v/>
      </c>
      <c r="U153" s="63"/>
      <c r="V153" s="63"/>
      <c r="W153" s="257"/>
      <c r="Z153" s="77"/>
      <c r="AA153" s="77"/>
      <c r="AB153" s="77"/>
    </row>
    <row r="154" spans="2:28" ht="20.25" customHeight="1" x14ac:dyDescent="0.25">
      <c r="B154" s="57"/>
      <c r="C154" s="58">
        <f>B152</f>
        <v>30</v>
      </c>
      <c r="D154" s="58"/>
      <c r="E154" s="58"/>
      <c r="F154" s="65"/>
      <c r="G154" s="66"/>
      <c r="H154" s="266" t="s">
        <v>161</v>
      </c>
      <c r="I154" s="267"/>
      <c r="J154" s="216" t="str">
        <f t="shared" ref="J154:R154" si="258">IFERROR(ROUND(AVERAGE(J152:J153),2),"")</f>
        <v/>
      </c>
      <c r="K154" s="216" t="str">
        <f t="shared" si="258"/>
        <v/>
      </c>
      <c r="L154" s="216" t="str">
        <f t="shared" si="258"/>
        <v/>
      </c>
      <c r="M154" s="216" t="str">
        <f t="shared" si="258"/>
        <v/>
      </c>
      <c r="N154" s="216" t="str">
        <f t="shared" si="258"/>
        <v/>
      </c>
      <c r="O154" s="216" t="str">
        <f t="shared" si="258"/>
        <v/>
      </c>
      <c r="P154" s="216" t="str">
        <f t="shared" si="258"/>
        <v/>
      </c>
      <c r="Q154" s="216" t="str">
        <f t="shared" si="258"/>
        <v/>
      </c>
      <c r="R154" s="216" t="str">
        <f t="shared" si="258"/>
        <v/>
      </c>
      <c r="S154" s="216" t="str">
        <f t="shared" si="212"/>
        <v/>
      </c>
      <c r="T154" s="216" t="str">
        <f>IFERROR(ROUND(AVERAGE(J154:R154),2),"")</f>
        <v/>
      </c>
      <c r="U154" s="70"/>
      <c r="V154" s="70"/>
      <c r="W154" s="257"/>
      <c r="X154" s="55"/>
    </row>
    <row r="155" spans="2:28" ht="20.25" customHeight="1" x14ac:dyDescent="0.25">
      <c r="B155" s="57"/>
      <c r="C155" s="58"/>
      <c r="D155" s="58"/>
      <c r="E155" s="58"/>
      <c r="F155" s="65"/>
      <c r="G155" s="66"/>
      <c r="H155" s="268" t="s">
        <v>162</v>
      </c>
      <c r="I155" s="269"/>
      <c r="J155" s="69"/>
      <c r="K155" s="69"/>
      <c r="L155" s="95"/>
      <c r="M155" s="95"/>
      <c r="N155" s="95"/>
      <c r="O155" s="69"/>
      <c r="P155" s="69"/>
      <c r="Q155" s="69"/>
      <c r="R155" s="69"/>
      <c r="S155" s="62" t="str">
        <f t="shared" si="212"/>
        <v/>
      </c>
      <c r="T155" s="62" t="str">
        <f>IF(J155="","",AVERAGE(J155:R155))</f>
        <v/>
      </c>
      <c r="U155" s="71"/>
      <c r="V155" s="71"/>
      <c r="W155" s="257"/>
      <c r="Z155" s="77"/>
      <c r="AA155" s="77"/>
      <c r="AB155" s="77"/>
    </row>
    <row r="156" spans="2:28" ht="20.25" customHeight="1" thickBot="1" x14ac:dyDescent="0.3">
      <c r="B156" s="72"/>
      <c r="C156" s="73"/>
      <c r="D156" s="73">
        <f>B152</f>
        <v>30</v>
      </c>
      <c r="E156" s="73"/>
      <c r="F156" s="74"/>
      <c r="G156" s="75"/>
      <c r="H156" s="264" t="s">
        <v>87</v>
      </c>
      <c r="I156" s="265"/>
      <c r="J156" s="127" t="str">
        <f>IFERROR(ROUND(((J154*$W$2)+(J155*$W$3))/100,2),"")</f>
        <v/>
      </c>
      <c r="K156" s="127" t="str">
        <f t="shared" ref="K156" si="259">IFERROR(ROUND(((K154*$W$2)+(K155*$W$3))/100,2),"")</f>
        <v/>
      </c>
      <c r="L156" s="127" t="str">
        <f t="shared" ref="L156" si="260">IFERROR(ROUND(((L154*$W$2)+(L155*$W$3))/100,2),"")</f>
        <v/>
      </c>
      <c r="M156" s="127" t="str">
        <f t="shared" ref="M156" si="261">IFERROR(ROUND(((M154*$W$2)+(M155*$W$3))/100,2),"")</f>
        <v/>
      </c>
      <c r="N156" s="127" t="str">
        <f t="shared" ref="N156" si="262">IFERROR(ROUND(((N154*$W$2)+(N155*$W$3))/100,2),"")</f>
        <v/>
      </c>
      <c r="O156" s="127" t="str">
        <f t="shared" ref="O156" si="263">IFERROR(ROUND(((O154*$W$2)+(O155*$W$3))/100,2),"")</f>
        <v/>
      </c>
      <c r="P156" s="127" t="str">
        <f t="shared" ref="P156" si="264">IFERROR(ROUND(((P154*$W$2)+(P155*$W$3))/100,2),"")</f>
        <v/>
      </c>
      <c r="Q156" s="127" t="str">
        <f t="shared" ref="Q156" si="265">IFERROR(ROUND(((Q154*$W$2)+(Q155*$W$3))/100,2),"")</f>
        <v/>
      </c>
      <c r="R156" s="127" t="str">
        <f t="shared" ref="R156" si="266">IFERROR(ROUND(((R154*$W$2)+(R155*$W$3))/100,2),"")</f>
        <v/>
      </c>
      <c r="S156" s="127" t="str">
        <f t="shared" si="212"/>
        <v/>
      </c>
      <c r="T156" s="127" t="str">
        <f>IFERROR(AVERAGE(J156:R156),"")</f>
        <v/>
      </c>
      <c r="U156" s="76"/>
      <c r="V156" s="76"/>
      <c r="W156" s="258"/>
      <c r="X156" s="55"/>
      <c r="Z156" s="52" t="str">
        <f>IF(T156="","",T156)</f>
        <v/>
      </c>
    </row>
    <row r="157" spans="2:28" ht="20.25" customHeight="1" x14ac:dyDescent="0.3">
      <c r="B157" s="57">
        <f>IF('DATA SISWA &amp; SEK'!A34="","",'DATA SISWA &amp; SEK'!A34)</f>
        <v>31</v>
      </c>
      <c r="C157" s="58"/>
      <c r="D157" s="58"/>
      <c r="E157" s="58"/>
      <c r="F157" s="59"/>
      <c r="G157" s="60">
        <f>IF(B157="","",VLOOKUP(B157,'DATA SISWA &amp; SEK'!$A$4:$H$43,5,FALSE))</f>
        <v>0</v>
      </c>
      <c r="H157" s="61" t="s">
        <v>167</v>
      </c>
      <c r="I157" s="68" t="s">
        <v>165</v>
      </c>
      <c r="J157" s="140"/>
      <c r="K157" s="140"/>
      <c r="L157" s="141"/>
      <c r="M157" s="141"/>
      <c r="N157" s="141"/>
      <c r="O157" s="140"/>
      <c r="P157" s="140"/>
      <c r="Q157" s="140"/>
      <c r="R157" s="140"/>
      <c r="S157" s="142" t="str">
        <f t="shared" si="212"/>
        <v/>
      </c>
      <c r="T157" s="142" t="str">
        <f>IF(J157="","",AVERAGE(J157:R157))</f>
        <v/>
      </c>
      <c r="U157" s="63"/>
      <c r="V157" s="63"/>
      <c r="W157" s="256" t="str">
        <f>IF(T161="","",RANK(Z161,$Z$11:$Z$206,0))</f>
        <v/>
      </c>
    </row>
    <row r="158" spans="2:28" ht="20.25" customHeight="1" x14ac:dyDescent="0.25">
      <c r="B158" s="57"/>
      <c r="C158" s="58"/>
      <c r="D158" s="58"/>
      <c r="E158" s="58"/>
      <c r="F158" s="65"/>
      <c r="G158" s="66"/>
      <c r="H158" s="67"/>
      <c r="I158" s="68" t="s">
        <v>164</v>
      </c>
      <c r="J158" s="69"/>
      <c r="K158" s="69"/>
      <c r="L158" s="95"/>
      <c r="M158" s="95"/>
      <c r="N158" s="95"/>
      <c r="O158" s="69"/>
      <c r="P158" s="69"/>
      <c r="Q158" s="69"/>
      <c r="R158" s="69"/>
      <c r="S158" s="62" t="str">
        <f t="shared" si="212"/>
        <v/>
      </c>
      <c r="T158" s="62" t="str">
        <f>IF(J158="","",AVERAGE(J158:R158))</f>
        <v/>
      </c>
      <c r="U158" s="63"/>
      <c r="V158" s="63"/>
      <c r="W158" s="257"/>
    </row>
    <row r="159" spans="2:28" ht="20.25" customHeight="1" x14ac:dyDescent="0.25">
      <c r="B159" s="57"/>
      <c r="C159" s="58">
        <f>B157</f>
        <v>31</v>
      </c>
      <c r="D159" s="58"/>
      <c r="E159" s="58"/>
      <c r="F159" s="65"/>
      <c r="G159" s="66"/>
      <c r="H159" s="266" t="s">
        <v>161</v>
      </c>
      <c r="I159" s="267"/>
      <c r="J159" s="216" t="str">
        <f t="shared" ref="J159:R159" si="267">IFERROR(ROUND(AVERAGE(J157:J158),2),"")</f>
        <v/>
      </c>
      <c r="K159" s="216" t="str">
        <f t="shared" si="267"/>
        <v/>
      </c>
      <c r="L159" s="216" t="str">
        <f t="shared" si="267"/>
        <v/>
      </c>
      <c r="M159" s="216" t="str">
        <f t="shared" si="267"/>
        <v/>
      </c>
      <c r="N159" s="216" t="str">
        <f t="shared" si="267"/>
        <v/>
      </c>
      <c r="O159" s="216" t="str">
        <f t="shared" si="267"/>
        <v/>
      </c>
      <c r="P159" s="216" t="str">
        <f t="shared" si="267"/>
        <v/>
      </c>
      <c r="Q159" s="216" t="str">
        <f t="shared" si="267"/>
        <v/>
      </c>
      <c r="R159" s="216" t="str">
        <f t="shared" si="267"/>
        <v/>
      </c>
      <c r="S159" s="216" t="str">
        <f t="shared" si="212"/>
        <v/>
      </c>
      <c r="T159" s="216" t="str">
        <f>IFERROR(ROUND(AVERAGE(J159:R159),2),"")</f>
        <v/>
      </c>
      <c r="U159" s="70"/>
      <c r="V159" s="70"/>
      <c r="W159" s="257"/>
      <c r="X159" s="55"/>
    </row>
    <row r="160" spans="2:28" ht="20.25" customHeight="1" x14ac:dyDescent="0.25">
      <c r="B160" s="57"/>
      <c r="C160" s="58"/>
      <c r="D160" s="58"/>
      <c r="E160" s="58"/>
      <c r="F160" s="65"/>
      <c r="G160" s="66"/>
      <c r="H160" s="268" t="s">
        <v>162</v>
      </c>
      <c r="I160" s="269"/>
      <c r="J160" s="69"/>
      <c r="K160" s="69"/>
      <c r="L160" s="95"/>
      <c r="M160" s="95"/>
      <c r="N160" s="95"/>
      <c r="O160" s="69"/>
      <c r="P160" s="69"/>
      <c r="Q160" s="69"/>
      <c r="R160" s="69"/>
      <c r="S160" s="62" t="str">
        <f t="shared" si="212"/>
        <v/>
      </c>
      <c r="T160" s="62" t="str">
        <f>IF(J160="","",AVERAGE(J160:R160))</f>
        <v/>
      </c>
      <c r="U160" s="71"/>
      <c r="V160" s="71"/>
      <c r="W160" s="257"/>
    </row>
    <row r="161" spans="2:26" ht="20.25" customHeight="1" thickBot="1" x14ac:dyDescent="0.3">
      <c r="B161" s="72"/>
      <c r="C161" s="73"/>
      <c r="D161" s="73">
        <f>B157</f>
        <v>31</v>
      </c>
      <c r="E161" s="73"/>
      <c r="F161" s="74"/>
      <c r="G161" s="75"/>
      <c r="H161" s="264" t="s">
        <v>87</v>
      </c>
      <c r="I161" s="265"/>
      <c r="J161" s="127" t="str">
        <f>IFERROR(ROUND(((J159*$W$2)+(J160*$W$3))/100,2),"")</f>
        <v/>
      </c>
      <c r="K161" s="127" t="str">
        <f t="shared" ref="K161" si="268">IFERROR(ROUND(((K159*$W$2)+(K160*$W$3))/100,2),"")</f>
        <v/>
      </c>
      <c r="L161" s="127" t="str">
        <f t="shared" ref="L161" si="269">IFERROR(ROUND(((L159*$W$2)+(L160*$W$3))/100,2),"")</f>
        <v/>
      </c>
      <c r="M161" s="127" t="str">
        <f t="shared" ref="M161" si="270">IFERROR(ROUND(((M159*$W$2)+(M160*$W$3))/100,2),"")</f>
        <v/>
      </c>
      <c r="N161" s="127" t="str">
        <f t="shared" ref="N161" si="271">IFERROR(ROUND(((N159*$W$2)+(N160*$W$3))/100,2),"")</f>
        <v/>
      </c>
      <c r="O161" s="127" t="str">
        <f t="shared" ref="O161" si="272">IFERROR(ROUND(((O159*$W$2)+(O160*$W$3))/100,2),"")</f>
        <v/>
      </c>
      <c r="P161" s="127" t="str">
        <f t="shared" ref="P161" si="273">IFERROR(ROUND(((P159*$W$2)+(P160*$W$3))/100,2),"")</f>
        <v/>
      </c>
      <c r="Q161" s="127" t="str">
        <f t="shared" ref="Q161" si="274">IFERROR(ROUND(((Q159*$W$2)+(Q160*$W$3))/100,2),"")</f>
        <v/>
      </c>
      <c r="R161" s="127" t="str">
        <f t="shared" ref="R161" si="275">IFERROR(ROUND(((R159*$W$2)+(R160*$W$3))/100,2),"")</f>
        <v/>
      </c>
      <c r="S161" s="127" t="str">
        <f t="shared" si="212"/>
        <v/>
      </c>
      <c r="T161" s="127" t="str">
        <f>IFERROR(AVERAGE(J161:R161),"")</f>
        <v/>
      </c>
      <c r="U161" s="76"/>
      <c r="V161" s="76"/>
      <c r="W161" s="258"/>
      <c r="X161" s="55"/>
      <c r="Z161" s="52" t="str">
        <f>IF(T161="","",T161)</f>
        <v/>
      </c>
    </row>
    <row r="162" spans="2:26" ht="20.25" customHeight="1" x14ac:dyDescent="0.3">
      <c r="B162" s="57">
        <f>IF('DATA SISWA &amp; SEK'!A35="","",'DATA SISWA &amp; SEK'!A35)</f>
        <v>32</v>
      </c>
      <c r="C162" s="58"/>
      <c r="D162" s="58"/>
      <c r="E162" s="58"/>
      <c r="F162" s="59"/>
      <c r="G162" s="60">
        <f>IF(B162="","",VLOOKUP(B162,'DATA SISWA &amp; SEK'!$A$4:$H$43,5,FALSE))</f>
        <v>0</v>
      </c>
      <c r="H162" s="61" t="s">
        <v>167</v>
      </c>
      <c r="I162" s="68" t="s">
        <v>165</v>
      </c>
      <c r="J162" s="69"/>
      <c r="K162" s="69"/>
      <c r="L162" s="95"/>
      <c r="M162" s="95"/>
      <c r="N162" s="95"/>
      <c r="O162" s="69"/>
      <c r="P162" s="69"/>
      <c r="Q162" s="69"/>
      <c r="R162" s="69"/>
      <c r="S162" s="62" t="str">
        <f t="shared" si="212"/>
        <v/>
      </c>
      <c r="T162" s="62" t="str">
        <f>IF(J162="","",AVERAGE(J162:R162))</f>
        <v/>
      </c>
      <c r="U162" s="63"/>
      <c r="V162" s="63"/>
      <c r="W162" s="256" t="str">
        <f>IF(T166="","",RANK(Z166,$Z$11:$Z$206,0))</f>
        <v/>
      </c>
    </row>
    <row r="163" spans="2:26" ht="20.25" customHeight="1" x14ac:dyDescent="0.25">
      <c r="B163" s="57"/>
      <c r="C163" s="58"/>
      <c r="D163" s="58"/>
      <c r="E163" s="58"/>
      <c r="F163" s="65"/>
      <c r="G163" s="66"/>
      <c r="H163" s="67"/>
      <c r="I163" s="68" t="s">
        <v>164</v>
      </c>
      <c r="J163" s="69"/>
      <c r="K163" s="69"/>
      <c r="L163" s="95"/>
      <c r="M163" s="95"/>
      <c r="N163" s="95"/>
      <c r="O163" s="69"/>
      <c r="P163" s="69"/>
      <c r="Q163" s="69"/>
      <c r="R163" s="69"/>
      <c r="S163" s="62" t="str">
        <f t="shared" si="212"/>
        <v/>
      </c>
      <c r="T163" s="62" t="str">
        <f>IF(J163="","",AVERAGE(J163:R163))</f>
        <v/>
      </c>
      <c r="U163" s="63"/>
      <c r="V163" s="63"/>
      <c r="W163" s="257"/>
    </row>
    <row r="164" spans="2:26" ht="20.25" customHeight="1" x14ac:dyDescent="0.25">
      <c r="B164" s="57"/>
      <c r="C164" s="58">
        <f>B162</f>
        <v>32</v>
      </c>
      <c r="D164" s="58"/>
      <c r="E164" s="58"/>
      <c r="F164" s="65"/>
      <c r="G164" s="66"/>
      <c r="H164" s="266" t="s">
        <v>161</v>
      </c>
      <c r="I164" s="267"/>
      <c r="J164" s="216" t="str">
        <f t="shared" ref="J164:R164" si="276">IFERROR(ROUND(AVERAGE(J162:J163),2),"")</f>
        <v/>
      </c>
      <c r="K164" s="216" t="str">
        <f t="shared" si="276"/>
        <v/>
      </c>
      <c r="L164" s="216" t="str">
        <f t="shared" si="276"/>
        <v/>
      </c>
      <c r="M164" s="216" t="str">
        <f t="shared" si="276"/>
        <v/>
      </c>
      <c r="N164" s="216" t="str">
        <f t="shared" si="276"/>
        <v/>
      </c>
      <c r="O164" s="216" t="str">
        <f t="shared" si="276"/>
        <v/>
      </c>
      <c r="P164" s="216" t="str">
        <f t="shared" si="276"/>
        <v/>
      </c>
      <c r="Q164" s="216" t="str">
        <f t="shared" si="276"/>
        <v/>
      </c>
      <c r="R164" s="216" t="str">
        <f t="shared" si="276"/>
        <v/>
      </c>
      <c r="S164" s="216" t="str">
        <f t="shared" si="212"/>
        <v/>
      </c>
      <c r="T164" s="216" t="str">
        <f>IFERROR(ROUND(AVERAGE(J164:R164),2),"")</f>
        <v/>
      </c>
      <c r="U164" s="70"/>
      <c r="V164" s="70"/>
      <c r="W164" s="257"/>
      <c r="X164" s="55"/>
    </row>
    <row r="165" spans="2:26" ht="20.25" customHeight="1" x14ac:dyDescent="0.25">
      <c r="B165" s="57"/>
      <c r="C165" s="58"/>
      <c r="D165" s="58"/>
      <c r="E165" s="58"/>
      <c r="F165" s="65"/>
      <c r="G165" s="66"/>
      <c r="H165" s="268" t="s">
        <v>162</v>
      </c>
      <c r="I165" s="269"/>
      <c r="J165" s="69"/>
      <c r="K165" s="69"/>
      <c r="L165" s="95"/>
      <c r="M165" s="95"/>
      <c r="N165" s="95"/>
      <c r="O165" s="69"/>
      <c r="P165" s="69"/>
      <c r="Q165" s="69"/>
      <c r="R165" s="69"/>
      <c r="S165" s="62" t="str">
        <f t="shared" si="212"/>
        <v/>
      </c>
      <c r="T165" s="62" t="str">
        <f>IF(J165="","",AVERAGE(J165:R165))</f>
        <v/>
      </c>
      <c r="U165" s="71"/>
      <c r="V165" s="71"/>
      <c r="W165" s="257"/>
    </row>
    <row r="166" spans="2:26" ht="20.25" customHeight="1" thickBot="1" x14ac:dyDescent="0.3">
      <c r="B166" s="72"/>
      <c r="C166" s="73"/>
      <c r="D166" s="73">
        <f>B162</f>
        <v>32</v>
      </c>
      <c r="E166" s="73"/>
      <c r="F166" s="74"/>
      <c r="G166" s="75"/>
      <c r="H166" s="264" t="s">
        <v>87</v>
      </c>
      <c r="I166" s="265"/>
      <c r="J166" s="127" t="str">
        <f>IFERROR(ROUND(((J164*$W$2)+(J165*$W$3))/100,2),"")</f>
        <v/>
      </c>
      <c r="K166" s="127" t="str">
        <f t="shared" ref="K166" si="277">IFERROR(ROUND(((K164*$W$2)+(K165*$W$3))/100,2),"")</f>
        <v/>
      </c>
      <c r="L166" s="127" t="str">
        <f t="shared" ref="L166" si="278">IFERROR(ROUND(((L164*$W$2)+(L165*$W$3))/100,2),"")</f>
        <v/>
      </c>
      <c r="M166" s="127" t="str">
        <f t="shared" ref="M166" si="279">IFERROR(ROUND(((M164*$W$2)+(M165*$W$3))/100,2),"")</f>
        <v/>
      </c>
      <c r="N166" s="127" t="str">
        <f t="shared" ref="N166" si="280">IFERROR(ROUND(((N164*$W$2)+(N165*$W$3))/100,2),"")</f>
        <v/>
      </c>
      <c r="O166" s="127" t="str">
        <f t="shared" ref="O166" si="281">IFERROR(ROUND(((O164*$W$2)+(O165*$W$3))/100,2),"")</f>
        <v/>
      </c>
      <c r="P166" s="127" t="str">
        <f t="shared" ref="P166" si="282">IFERROR(ROUND(((P164*$W$2)+(P165*$W$3))/100,2),"")</f>
        <v/>
      </c>
      <c r="Q166" s="127" t="str">
        <f t="shared" ref="Q166" si="283">IFERROR(ROUND(((Q164*$W$2)+(Q165*$W$3))/100,2),"")</f>
        <v/>
      </c>
      <c r="R166" s="127" t="str">
        <f t="shared" ref="R166" si="284">IFERROR(ROUND(((R164*$W$2)+(R165*$W$3))/100,2),"")</f>
        <v/>
      </c>
      <c r="S166" s="127" t="str">
        <f t="shared" si="212"/>
        <v/>
      </c>
      <c r="T166" s="127" t="str">
        <f>IFERROR(AVERAGE(J166:R166),"")</f>
        <v/>
      </c>
      <c r="U166" s="76"/>
      <c r="V166" s="76"/>
      <c r="W166" s="258"/>
      <c r="X166" s="55"/>
      <c r="Z166" s="52" t="str">
        <f>IF(T166="","",T166)</f>
        <v/>
      </c>
    </row>
    <row r="167" spans="2:26" ht="20.25" customHeight="1" x14ac:dyDescent="0.3">
      <c r="B167" s="57">
        <f>IF('DATA SISWA &amp; SEK'!A36="","",'DATA SISWA &amp; SEK'!A36)</f>
        <v>33</v>
      </c>
      <c r="C167" s="58"/>
      <c r="D167" s="58"/>
      <c r="E167" s="58"/>
      <c r="F167" s="59"/>
      <c r="G167" s="60">
        <f>IF(B167="","",VLOOKUP(B167,'DATA SISWA &amp; SEK'!$A$4:$H$43,5,FALSE))</f>
        <v>0</v>
      </c>
      <c r="H167" s="61" t="s">
        <v>167</v>
      </c>
      <c r="I167" s="68" t="s">
        <v>165</v>
      </c>
      <c r="J167" s="69"/>
      <c r="K167" s="69"/>
      <c r="L167" s="95"/>
      <c r="M167" s="95"/>
      <c r="N167" s="95"/>
      <c r="O167" s="69"/>
      <c r="P167" s="69"/>
      <c r="Q167" s="69"/>
      <c r="R167" s="69"/>
      <c r="S167" s="62" t="str">
        <f t="shared" ref="S167:S203" si="285">IF(J167="","",SUM(J167:R167))</f>
        <v/>
      </c>
      <c r="T167" s="62" t="str">
        <f>IF(J167="","",AVERAGE(J167:R167))</f>
        <v/>
      </c>
      <c r="U167" s="63"/>
      <c r="V167" s="63"/>
      <c r="W167" s="256" t="str">
        <f>IF(T171="","",RANK(Z171,$Z$11:$Z$206,0))</f>
        <v/>
      </c>
    </row>
    <row r="168" spans="2:26" ht="20.25" customHeight="1" x14ac:dyDescent="0.25">
      <c r="B168" s="57"/>
      <c r="C168" s="58"/>
      <c r="D168" s="58"/>
      <c r="E168" s="58"/>
      <c r="F168" s="65"/>
      <c r="G168" s="66"/>
      <c r="H168" s="67"/>
      <c r="I168" s="68" t="s">
        <v>164</v>
      </c>
      <c r="J168" s="69"/>
      <c r="K168" s="69"/>
      <c r="L168" s="95"/>
      <c r="M168" s="95"/>
      <c r="N168" s="95"/>
      <c r="O168" s="69"/>
      <c r="P168" s="69"/>
      <c r="Q168" s="69"/>
      <c r="R168" s="69"/>
      <c r="S168" s="62" t="str">
        <f t="shared" si="285"/>
        <v/>
      </c>
      <c r="T168" s="62" t="str">
        <f>IF(J168="","",AVERAGE(J168:R168))</f>
        <v/>
      </c>
      <c r="U168" s="63"/>
      <c r="V168" s="63"/>
      <c r="W168" s="257"/>
    </row>
    <row r="169" spans="2:26" ht="20.25" customHeight="1" x14ac:dyDescent="0.25">
      <c r="B169" s="57"/>
      <c r="C169" s="58">
        <f>B167</f>
        <v>33</v>
      </c>
      <c r="D169" s="58"/>
      <c r="E169" s="58"/>
      <c r="F169" s="65"/>
      <c r="G169" s="66"/>
      <c r="H169" s="266" t="s">
        <v>161</v>
      </c>
      <c r="I169" s="267"/>
      <c r="J169" s="216" t="str">
        <f t="shared" ref="J169:R169" si="286">IFERROR(ROUND(AVERAGE(J167:J168),2),"")</f>
        <v/>
      </c>
      <c r="K169" s="216" t="str">
        <f t="shared" si="286"/>
        <v/>
      </c>
      <c r="L169" s="216" t="str">
        <f t="shared" si="286"/>
        <v/>
      </c>
      <c r="M169" s="216" t="str">
        <f t="shared" si="286"/>
        <v/>
      </c>
      <c r="N169" s="216" t="str">
        <f t="shared" si="286"/>
        <v/>
      </c>
      <c r="O169" s="216" t="str">
        <f t="shared" si="286"/>
        <v/>
      </c>
      <c r="P169" s="216" t="str">
        <f t="shared" si="286"/>
        <v/>
      </c>
      <c r="Q169" s="216" t="str">
        <f t="shared" si="286"/>
        <v/>
      </c>
      <c r="R169" s="216" t="str">
        <f t="shared" si="286"/>
        <v/>
      </c>
      <c r="S169" s="216" t="str">
        <f t="shared" si="285"/>
        <v/>
      </c>
      <c r="T169" s="216" t="str">
        <f>IFERROR(ROUND(AVERAGE(J169:R169),2),"")</f>
        <v/>
      </c>
      <c r="U169" s="70"/>
      <c r="V169" s="70"/>
      <c r="W169" s="257"/>
      <c r="X169" s="55"/>
    </row>
    <row r="170" spans="2:26" ht="20.25" customHeight="1" x14ac:dyDescent="0.25">
      <c r="B170" s="57"/>
      <c r="C170" s="58"/>
      <c r="D170" s="58"/>
      <c r="E170" s="58"/>
      <c r="F170" s="65"/>
      <c r="G170" s="66"/>
      <c r="H170" s="268" t="s">
        <v>162</v>
      </c>
      <c r="I170" s="269"/>
      <c r="J170" s="69"/>
      <c r="K170" s="69"/>
      <c r="L170" s="95"/>
      <c r="M170" s="95"/>
      <c r="N170" s="95"/>
      <c r="O170" s="69"/>
      <c r="P170" s="69"/>
      <c r="Q170" s="69"/>
      <c r="R170" s="69"/>
      <c r="S170" s="62" t="str">
        <f t="shared" si="285"/>
        <v/>
      </c>
      <c r="T170" s="62" t="str">
        <f>IF(J170="","",AVERAGE(J170:R170))</f>
        <v/>
      </c>
      <c r="U170" s="71"/>
      <c r="V170" s="71"/>
      <c r="W170" s="257"/>
    </row>
    <row r="171" spans="2:26" ht="20.25" customHeight="1" thickBot="1" x14ac:dyDescent="0.3">
      <c r="B171" s="72"/>
      <c r="C171" s="73"/>
      <c r="D171" s="73">
        <f>B167</f>
        <v>33</v>
      </c>
      <c r="E171" s="73"/>
      <c r="F171" s="74"/>
      <c r="G171" s="75"/>
      <c r="H171" s="264" t="s">
        <v>87</v>
      </c>
      <c r="I171" s="265"/>
      <c r="J171" s="127" t="str">
        <f>IFERROR(ROUND(((J169*$W$2)+(J170*$W$3))/100,2),"")</f>
        <v/>
      </c>
      <c r="K171" s="127" t="str">
        <f t="shared" ref="K171" si="287">IFERROR(ROUND(((K169*$W$2)+(K170*$W$3))/100,2),"")</f>
        <v/>
      </c>
      <c r="L171" s="127" t="str">
        <f t="shared" ref="L171" si="288">IFERROR(ROUND(((L169*$W$2)+(L170*$W$3))/100,2),"")</f>
        <v/>
      </c>
      <c r="M171" s="127" t="str">
        <f t="shared" ref="M171" si="289">IFERROR(ROUND(((M169*$W$2)+(M170*$W$3))/100,2),"")</f>
        <v/>
      </c>
      <c r="N171" s="127" t="str">
        <f t="shared" ref="N171" si="290">IFERROR(ROUND(((N169*$W$2)+(N170*$W$3))/100,2),"")</f>
        <v/>
      </c>
      <c r="O171" s="127" t="str">
        <f t="shared" ref="O171" si="291">IFERROR(ROUND(((O169*$W$2)+(O170*$W$3))/100,2),"")</f>
        <v/>
      </c>
      <c r="P171" s="127" t="str">
        <f t="shared" ref="P171" si="292">IFERROR(ROUND(((P169*$W$2)+(P170*$W$3))/100,2),"")</f>
        <v/>
      </c>
      <c r="Q171" s="127" t="str">
        <f t="shared" ref="Q171" si="293">IFERROR(ROUND(((Q169*$W$2)+(Q170*$W$3))/100,2),"")</f>
        <v/>
      </c>
      <c r="R171" s="127" t="str">
        <f t="shared" ref="R171" si="294">IFERROR(ROUND(((R169*$W$2)+(R170*$W$3))/100,2),"")</f>
        <v/>
      </c>
      <c r="S171" s="127" t="str">
        <f t="shared" si="285"/>
        <v/>
      </c>
      <c r="T171" s="127" t="str">
        <f>IFERROR(AVERAGE(J171:R171),"")</f>
        <v/>
      </c>
      <c r="U171" s="76"/>
      <c r="V171" s="76"/>
      <c r="W171" s="258"/>
      <c r="X171" s="55"/>
      <c r="Z171" s="52" t="str">
        <f>IF(T171="","",T171)</f>
        <v/>
      </c>
    </row>
    <row r="172" spans="2:26" ht="20.25" customHeight="1" x14ac:dyDescent="0.3">
      <c r="B172" s="57">
        <f>IF('DATA SISWA &amp; SEK'!A37="","",'DATA SISWA &amp; SEK'!A37)</f>
        <v>34</v>
      </c>
      <c r="C172" s="58"/>
      <c r="D172" s="58"/>
      <c r="E172" s="58"/>
      <c r="F172" s="59"/>
      <c r="G172" s="60">
        <f>IF(B172="","",VLOOKUP(B172,'DATA SISWA &amp; SEK'!$A$4:$H$43,5,FALSE))</f>
        <v>0</v>
      </c>
      <c r="H172" s="61" t="s">
        <v>167</v>
      </c>
      <c r="I172" s="68" t="s">
        <v>165</v>
      </c>
      <c r="J172" s="69"/>
      <c r="K172" s="69"/>
      <c r="L172" s="95"/>
      <c r="M172" s="95"/>
      <c r="N172" s="95"/>
      <c r="O172" s="69"/>
      <c r="P172" s="69"/>
      <c r="Q172" s="69"/>
      <c r="R172" s="69"/>
      <c r="S172" s="62" t="str">
        <f t="shared" si="285"/>
        <v/>
      </c>
      <c r="T172" s="62" t="str">
        <f>IF(J172="","",AVERAGE(J172:R172))</f>
        <v/>
      </c>
      <c r="U172" s="63"/>
      <c r="V172" s="63"/>
      <c r="W172" s="256" t="str">
        <f>IF(T176="","",RANK(Z176,$Z$11:$Z$206,0))</f>
        <v/>
      </c>
    </row>
    <row r="173" spans="2:26" ht="20.25" customHeight="1" x14ac:dyDescent="0.25">
      <c r="B173" s="57"/>
      <c r="C173" s="58"/>
      <c r="D173" s="58"/>
      <c r="E173" s="58"/>
      <c r="F173" s="65"/>
      <c r="G173" s="66"/>
      <c r="H173" s="67"/>
      <c r="I173" s="68" t="s">
        <v>164</v>
      </c>
      <c r="J173" s="69"/>
      <c r="K173" s="69"/>
      <c r="L173" s="95"/>
      <c r="M173" s="95"/>
      <c r="N173" s="95"/>
      <c r="O173" s="69"/>
      <c r="P173" s="69"/>
      <c r="Q173" s="69"/>
      <c r="R173" s="69"/>
      <c r="S173" s="62" t="str">
        <f t="shared" si="285"/>
        <v/>
      </c>
      <c r="T173" s="62" t="str">
        <f>IF(J173="","",AVERAGE(J173:R173))</f>
        <v/>
      </c>
      <c r="U173" s="63"/>
      <c r="V173" s="63"/>
      <c r="W173" s="257"/>
    </row>
    <row r="174" spans="2:26" ht="20.25" customHeight="1" x14ac:dyDescent="0.25">
      <c r="B174" s="57"/>
      <c r="C174" s="58">
        <f>B172</f>
        <v>34</v>
      </c>
      <c r="D174" s="58"/>
      <c r="E174" s="58"/>
      <c r="F174" s="65"/>
      <c r="G174" s="66"/>
      <c r="H174" s="266" t="s">
        <v>161</v>
      </c>
      <c r="I174" s="267"/>
      <c r="J174" s="216" t="str">
        <f t="shared" ref="J174:R174" si="295">IFERROR(ROUND(AVERAGE(J172:J173),2),"")</f>
        <v/>
      </c>
      <c r="K174" s="216" t="str">
        <f t="shared" si="295"/>
        <v/>
      </c>
      <c r="L174" s="216" t="str">
        <f t="shared" si="295"/>
        <v/>
      </c>
      <c r="M174" s="216" t="str">
        <f t="shared" si="295"/>
        <v/>
      </c>
      <c r="N174" s="216" t="str">
        <f t="shared" si="295"/>
        <v/>
      </c>
      <c r="O174" s="216" t="str">
        <f t="shared" si="295"/>
        <v/>
      </c>
      <c r="P174" s="216" t="str">
        <f t="shared" si="295"/>
        <v/>
      </c>
      <c r="Q174" s="216" t="str">
        <f t="shared" si="295"/>
        <v/>
      </c>
      <c r="R174" s="216" t="str">
        <f t="shared" si="295"/>
        <v/>
      </c>
      <c r="S174" s="216" t="str">
        <f t="shared" si="285"/>
        <v/>
      </c>
      <c r="T174" s="216" t="str">
        <f>IFERROR(ROUND(AVERAGE(J174:R174),2),"")</f>
        <v/>
      </c>
      <c r="U174" s="70"/>
      <c r="V174" s="70"/>
      <c r="W174" s="257"/>
      <c r="X174" s="55"/>
    </row>
    <row r="175" spans="2:26" ht="20.25" customHeight="1" x14ac:dyDescent="0.25">
      <c r="B175" s="57"/>
      <c r="C175" s="58"/>
      <c r="D175" s="58"/>
      <c r="E175" s="58"/>
      <c r="F175" s="65"/>
      <c r="G175" s="66"/>
      <c r="H175" s="268" t="s">
        <v>162</v>
      </c>
      <c r="I175" s="269"/>
      <c r="J175" s="69"/>
      <c r="K175" s="69"/>
      <c r="L175" s="95"/>
      <c r="M175" s="95"/>
      <c r="N175" s="95"/>
      <c r="O175" s="69"/>
      <c r="P175" s="69"/>
      <c r="Q175" s="69"/>
      <c r="R175" s="69"/>
      <c r="S175" s="62" t="str">
        <f t="shared" si="285"/>
        <v/>
      </c>
      <c r="T175" s="62" t="str">
        <f>IF(J175="","",AVERAGE(J175:R175))</f>
        <v/>
      </c>
      <c r="U175" s="71"/>
      <c r="V175" s="71"/>
      <c r="W175" s="257"/>
    </row>
    <row r="176" spans="2:26" ht="32.25" customHeight="1" thickBot="1" x14ac:dyDescent="0.3">
      <c r="B176" s="72"/>
      <c r="C176" s="73"/>
      <c r="D176" s="73">
        <f>B172</f>
        <v>34</v>
      </c>
      <c r="E176" s="73"/>
      <c r="F176" s="74"/>
      <c r="G176" s="75"/>
      <c r="H176" s="264" t="s">
        <v>87</v>
      </c>
      <c r="I176" s="265"/>
      <c r="J176" s="127" t="str">
        <f>IFERROR(ROUND(((J174*$W$2)+(J175*$W$3))/100,2),"")</f>
        <v/>
      </c>
      <c r="K176" s="127" t="str">
        <f t="shared" ref="K176" si="296">IFERROR(ROUND(((K174*$W$2)+(K175*$W$3))/100,2),"")</f>
        <v/>
      </c>
      <c r="L176" s="127" t="str">
        <f t="shared" ref="L176" si="297">IFERROR(ROUND(((L174*$W$2)+(L175*$W$3))/100,2),"")</f>
        <v/>
      </c>
      <c r="M176" s="127" t="str">
        <f t="shared" ref="M176" si="298">IFERROR(ROUND(((M174*$W$2)+(M175*$W$3))/100,2),"")</f>
        <v/>
      </c>
      <c r="N176" s="127" t="str">
        <f t="shared" ref="N176" si="299">IFERROR(ROUND(((N174*$W$2)+(N175*$W$3))/100,2),"")</f>
        <v/>
      </c>
      <c r="O176" s="127" t="str">
        <f t="shared" ref="O176" si="300">IFERROR(ROUND(((O174*$W$2)+(O175*$W$3))/100,2),"")</f>
        <v/>
      </c>
      <c r="P176" s="127" t="str">
        <f t="shared" ref="P176" si="301">IFERROR(ROUND(((P174*$W$2)+(P175*$W$3))/100,2),"")</f>
        <v/>
      </c>
      <c r="Q176" s="127" t="str">
        <f t="shared" ref="Q176" si="302">IFERROR(ROUND(((Q174*$W$2)+(Q175*$W$3))/100,2),"")</f>
        <v/>
      </c>
      <c r="R176" s="127" t="str">
        <f t="shared" ref="R176" si="303">IFERROR(ROUND(((R174*$W$2)+(R175*$W$3))/100,2),"")</f>
        <v/>
      </c>
      <c r="S176" s="127" t="str">
        <f t="shared" si="285"/>
        <v/>
      </c>
      <c r="T176" s="127" t="str">
        <f>IFERROR(AVERAGE(J176:R176),"")</f>
        <v/>
      </c>
      <c r="U176" s="76"/>
      <c r="V176" s="76"/>
      <c r="W176" s="258"/>
      <c r="X176" s="55"/>
      <c r="Z176" s="52" t="str">
        <f>IF(T176="","",T176)</f>
        <v/>
      </c>
    </row>
    <row r="177" spans="2:28" ht="20.25" customHeight="1" x14ac:dyDescent="0.3">
      <c r="B177" s="57">
        <f>IF('DATA SISWA &amp; SEK'!A38="","",'DATA SISWA &amp; SEK'!A38)</f>
        <v>35</v>
      </c>
      <c r="C177" s="58"/>
      <c r="D177" s="58"/>
      <c r="E177" s="58"/>
      <c r="F177" s="59"/>
      <c r="G177" s="60">
        <f>IF(B177="","",VLOOKUP(B177,'DATA SISWA &amp; SEK'!$A$4:$H$43,5,FALSE))</f>
        <v>0</v>
      </c>
      <c r="H177" s="61" t="s">
        <v>167</v>
      </c>
      <c r="I177" s="68" t="s">
        <v>165</v>
      </c>
      <c r="J177" s="69"/>
      <c r="K177" s="69"/>
      <c r="L177" s="95"/>
      <c r="M177" s="95"/>
      <c r="N177" s="95"/>
      <c r="O177" s="69"/>
      <c r="P177" s="69"/>
      <c r="Q177" s="69"/>
      <c r="R177" s="69"/>
      <c r="S177" s="62" t="str">
        <f t="shared" si="285"/>
        <v/>
      </c>
      <c r="T177" s="62" t="str">
        <f>IF(J177="","",AVERAGE(J177:R177))</f>
        <v/>
      </c>
      <c r="U177" s="63"/>
      <c r="V177" s="63"/>
      <c r="W177" s="256" t="str">
        <f>IF(T181="","",RANK(Z181,$Z$11:$Z$206,0))</f>
        <v/>
      </c>
      <c r="Z177" s="55"/>
      <c r="AA177" s="55"/>
      <c r="AB177" s="55"/>
    </row>
    <row r="178" spans="2:28" ht="20.25" customHeight="1" x14ac:dyDescent="0.25">
      <c r="B178" s="57"/>
      <c r="C178" s="58"/>
      <c r="D178" s="58"/>
      <c r="E178" s="58"/>
      <c r="F178" s="65"/>
      <c r="G178" s="66"/>
      <c r="H178" s="67"/>
      <c r="I178" s="68" t="s">
        <v>164</v>
      </c>
      <c r="J178" s="69"/>
      <c r="K178" s="69"/>
      <c r="L178" s="95"/>
      <c r="M178" s="95"/>
      <c r="N178" s="95"/>
      <c r="O178" s="69"/>
      <c r="P178" s="69"/>
      <c r="Q178" s="69"/>
      <c r="R178" s="69"/>
      <c r="S178" s="62" t="str">
        <f t="shared" si="285"/>
        <v/>
      </c>
      <c r="T178" s="62" t="str">
        <f>IF(J178="","",AVERAGE(J178:R178))</f>
        <v/>
      </c>
      <c r="U178" s="63"/>
      <c r="V178" s="63"/>
      <c r="W178" s="257"/>
      <c r="Z178" s="55"/>
      <c r="AA178" s="55"/>
      <c r="AB178" s="55"/>
    </row>
    <row r="179" spans="2:28" ht="20.25" customHeight="1" x14ac:dyDescent="0.25">
      <c r="B179" s="57"/>
      <c r="C179" s="58">
        <f>B177</f>
        <v>35</v>
      </c>
      <c r="D179" s="58"/>
      <c r="E179" s="58"/>
      <c r="F179" s="65"/>
      <c r="G179" s="66"/>
      <c r="H179" s="266" t="s">
        <v>161</v>
      </c>
      <c r="I179" s="267"/>
      <c r="J179" s="216" t="str">
        <f t="shared" ref="J179:R179" si="304">IFERROR(ROUND(AVERAGE(J177:J178),2),"")</f>
        <v/>
      </c>
      <c r="K179" s="216" t="str">
        <f t="shared" si="304"/>
        <v/>
      </c>
      <c r="L179" s="216" t="str">
        <f t="shared" si="304"/>
        <v/>
      </c>
      <c r="M179" s="216" t="str">
        <f t="shared" si="304"/>
        <v/>
      </c>
      <c r="N179" s="216" t="str">
        <f t="shared" si="304"/>
        <v/>
      </c>
      <c r="O179" s="216" t="str">
        <f t="shared" si="304"/>
        <v/>
      </c>
      <c r="P179" s="216" t="str">
        <f t="shared" si="304"/>
        <v/>
      </c>
      <c r="Q179" s="216" t="str">
        <f t="shared" si="304"/>
        <v/>
      </c>
      <c r="R179" s="216" t="str">
        <f t="shared" si="304"/>
        <v/>
      </c>
      <c r="S179" s="216" t="str">
        <f t="shared" si="285"/>
        <v/>
      </c>
      <c r="T179" s="216" t="str">
        <f>IFERROR(ROUND(AVERAGE(J179:R179),2),"")</f>
        <v/>
      </c>
      <c r="U179" s="70"/>
      <c r="V179" s="70"/>
      <c r="W179" s="257"/>
      <c r="X179" s="55"/>
    </row>
    <row r="180" spans="2:28" ht="20.25" customHeight="1" x14ac:dyDescent="0.25">
      <c r="B180" s="57"/>
      <c r="C180" s="58"/>
      <c r="D180" s="58"/>
      <c r="E180" s="58"/>
      <c r="F180" s="65"/>
      <c r="G180" s="66"/>
      <c r="H180" s="268" t="s">
        <v>162</v>
      </c>
      <c r="I180" s="269"/>
      <c r="J180" s="69"/>
      <c r="K180" s="69"/>
      <c r="L180" s="95"/>
      <c r="M180" s="95"/>
      <c r="N180" s="95"/>
      <c r="O180" s="69"/>
      <c r="P180" s="69"/>
      <c r="Q180" s="69"/>
      <c r="R180" s="69"/>
      <c r="S180" s="62" t="str">
        <f t="shared" si="285"/>
        <v/>
      </c>
      <c r="T180" s="62" t="str">
        <f>IF(J180="","",AVERAGE(J180:R180))</f>
        <v/>
      </c>
      <c r="U180" s="71"/>
      <c r="V180" s="71"/>
      <c r="W180" s="257"/>
    </row>
    <row r="181" spans="2:28" ht="27.75" customHeight="1" thickBot="1" x14ac:dyDescent="0.3">
      <c r="B181" s="72"/>
      <c r="C181" s="73"/>
      <c r="D181" s="73">
        <f>B177</f>
        <v>35</v>
      </c>
      <c r="E181" s="73"/>
      <c r="F181" s="74"/>
      <c r="G181" s="75"/>
      <c r="H181" s="264" t="s">
        <v>87</v>
      </c>
      <c r="I181" s="265"/>
      <c r="J181" s="127" t="str">
        <f>IFERROR(ROUND(((J179*$W$2)+(J180*$W$3))/100,2),"")</f>
        <v/>
      </c>
      <c r="K181" s="127" t="str">
        <f t="shared" ref="K181" si="305">IFERROR(ROUND(((K179*$W$2)+(K180*$W$3))/100,2),"")</f>
        <v/>
      </c>
      <c r="L181" s="127" t="str">
        <f t="shared" ref="L181" si="306">IFERROR(ROUND(((L179*$W$2)+(L180*$W$3))/100,2),"")</f>
        <v/>
      </c>
      <c r="M181" s="127" t="str">
        <f t="shared" ref="M181" si="307">IFERROR(ROUND(((M179*$W$2)+(M180*$W$3))/100,2),"")</f>
        <v/>
      </c>
      <c r="N181" s="127" t="str">
        <f t="shared" ref="N181" si="308">IFERROR(ROUND(((N179*$W$2)+(N180*$W$3))/100,2),"")</f>
        <v/>
      </c>
      <c r="O181" s="127" t="str">
        <f t="shared" ref="O181" si="309">IFERROR(ROUND(((O179*$W$2)+(O180*$W$3))/100,2),"")</f>
        <v/>
      </c>
      <c r="P181" s="127" t="str">
        <f t="shared" ref="P181" si="310">IFERROR(ROUND(((P179*$W$2)+(P180*$W$3))/100,2),"")</f>
        <v/>
      </c>
      <c r="Q181" s="127" t="str">
        <f t="shared" ref="Q181" si="311">IFERROR(ROUND(((Q179*$W$2)+(Q180*$W$3))/100,2),"")</f>
        <v/>
      </c>
      <c r="R181" s="127" t="str">
        <f t="shared" ref="R181" si="312">IFERROR(ROUND(((R179*$W$2)+(R180*$W$3))/100,2),"")</f>
        <v/>
      </c>
      <c r="S181" s="127" t="str">
        <f t="shared" si="285"/>
        <v/>
      </c>
      <c r="T181" s="127" t="str">
        <f>IFERROR(AVERAGE(J181:R181),"")</f>
        <v/>
      </c>
      <c r="U181" s="76"/>
      <c r="V181" s="76"/>
      <c r="W181" s="258"/>
      <c r="X181" s="55"/>
      <c r="Z181" s="52" t="str">
        <f>IF(T181="","",T181)</f>
        <v/>
      </c>
    </row>
    <row r="182" spans="2:28" ht="20.25" customHeight="1" x14ac:dyDescent="0.3">
      <c r="B182" s="57">
        <f>IF('DATA SISWA &amp; SEK'!A39="","",'DATA SISWA &amp; SEK'!A39)</f>
        <v>36</v>
      </c>
      <c r="C182" s="58"/>
      <c r="D182" s="58"/>
      <c r="E182" s="58"/>
      <c r="F182" s="59"/>
      <c r="G182" s="60">
        <f>IF(B182="","",VLOOKUP(B182,'DATA SISWA &amp; SEK'!$A$4:$H$43,5,FALSE))</f>
        <v>0</v>
      </c>
      <c r="H182" s="61" t="s">
        <v>167</v>
      </c>
      <c r="I182" s="68" t="s">
        <v>165</v>
      </c>
      <c r="J182" s="69"/>
      <c r="K182" s="69"/>
      <c r="L182" s="95"/>
      <c r="M182" s="95"/>
      <c r="N182" s="95"/>
      <c r="O182" s="69"/>
      <c r="P182" s="69"/>
      <c r="Q182" s="69"/>
      <c r="R182" s="69"/>
      <c r="S182" s="62" t="str">
        <f t="shared" si="285"/>
        <v/>
      </c>
      <c r="T182" s="62" t="str">
        <f>IF(J182="","",AVERAGE(J182:R182))</f>
        <v/>
      </c>
      <c r="U182" s="63"/>
      <c r="V182" s="63"/>
      <c r="W182" s="256" t="str">
        <f>IF(T186="","",RANK(Z186,$Z$11:$Z$206,0))</f>
        <v/>
      </c>
      <c r="Z182" s="77"/>
      <c r="AA182" s="77"/>
      <c r="AB182" s="77"/>
    </row>
    <row r="183" spans="2:28" ht="20.25" customHeight="1" x14ac:dyDescent="0.25">
      <c r="B183" s="57"/>
      <c r="C183" s="58"/>
      <c r="D183" s="58"/>
      <c r="E183" s="58"/>
      <c r="F183" s="65"/>
      <c r="G183" s="66"/>
      <c r="H183" s="67"/>
      <c r="I183" s="68" t="s">
        <v>164</v>
      </c>
      <c r="J183" s="69"/>
      <c r="K183" s="69"/>
      <c r="L183" s="95"/>
      <c r="M183" s="95"/>
      <c r="N183" s="95"/>
      <c r="O183" s="69"/>
      <c r="P183" s="69"/>
      <c r="Q183" s="69"/>
      <c r="R183" s="69"/>
      <c r="S183" s="62" t="str">
        <f t="shared" si="285"/>
        <v/>
      </c>
      <c r="T183" s="62" t="str">
        <f>IF(J183="","",AVERAGE(J183:R183))</f>
        <v/>
      </c>
      <c r="U183" s="63"/>
      <c r="V183" s="63"/>
      <c r="W183" s="257"/>
      <c r="Z183" s="77"/>
      <c r="AA183" s="77"/>
      <c r="AB183" s="77"/>
    </row>
    <row r="184" spans="2:28" ht="20.25" customHeight="1" x14ac:dyDescent="0.25">
      <c r="B184" s="57"/>
      <c r="C184" s="58">
        <f>B182</f>
        <v>36</v>
      </c>
      <c r="D184" s="58"/>
      <c r="E184" s="58"/>
      <c r="F184" s="65"/>
      <c r="G184" s="66"/>
      <c r="H184" s="266" t="s">
        <v>161</v>
      </c>
      <c r="I184" s="267"/>
      <c r="J184" s="216" t="str">
        <f t="shared" ref="J184:R184" si="313">IFERROR(ROUND(AVERAGE(J182:J183),2),"")</f>
        <v/>
      </c>
      <c r="K184" s="216" t="str">
        <f t="shared" si="313"/>
        <v/>
      </c>
      <c r="L184" s="216" t="str">
        <f t="shared" si="313"/>
        <v/>
      </c>
      <c r="M184" s="216" t="str">
        <f t="shared" si="313"/>
        <v/>
      </c>
      <c r="N184" s="216" t="str">
        <f t="shared" si="313"/>
        <v/>
      </c>
      <c r="O184" s="216" t="str">
        <f t="shared" si="313"/>
        <v/>
      </c>
      <c r="P184" s="216" t="str">
        <f t="shared" si="313"/>
        <v/>
      </c>
      <c r="Q184" s="216" t="str">
        <f t="shared" si="313"/>
        <v/>
      </c>
      <c r="R184" s="216" t="str">
        <f t="shared" si="313"/>
        <v/>
      </c>
      <c r="S184" s="216" t="str">
        <f t="shared" si="285"/>
        <v/>
      </c>
      <c r="T184" s="216" t="str">
        <f>IFERROR(ROUND(AVERAGE(J184:R184),2),"")</f>
        <v/>
      </c>
      <c r="U184" s="70"/>
      <c r="V184" s="70"/>
      <c r="W184" s="257"/>
      <c r="X184" s="55"/>
    </row>
    <row r="185" spans="2:28" ht="20.25" customHeight="1" x14ac:dyDescent="0.25">
      <c r="B185" s="57"/>
      <c r="C185" s="58"/>
      <c r="D185" s="58"/>
      <c r="E185" s="58"/>
      <c r="F185" s="65"/>
      <c r="G185" s="66"/>
      <c r="H185" s="268" t="s">
        <v>162</v>
      </c>
      <c r="I185" s="269"/>
      <c r="J185" s="69"/>
      <c r="K185" s="69"/>
      <c r="L185" s="95"/>
      <c r="M185" s="95"/>
      <c r="N185" s="95"/>
      <c r="O185" s="69"/>
      <c r="P185" s="69"/>
      <c r="Q185" s="69"/>
      <c r="R185" s="69"/>
      <c r="S185" s="62" t="str">
        <f t="shared" si="285"/>
        <v/>
      </c>
      <c r="T185" s="62" t="str">
        <f>IF(J185="","",AVERAGE(J185:R185))</f>
        <v/>
      </c>
      <c r="U185" s="71"/>
      <c r="V185" s="71"/>
      <c r="W185" s="257"/>
    </row>
    <row r="186" spans="2:28" ht="30" customHeight="1" thickBot="1" x14ac:dyDescent="0.3">
      <c r="B186" s="72"/>
      <c r="C186" s="73"/>
      <c r="D186" s="73">
        <f>B182</f>
        <v>36</v>
      </c>
      <c r="E186" s="73"/>
      <c r="F186" s="74"/>
      <c r="G186" s="75"/>
      <c r="H186" s="264" t="s">
        <v>87</v>
      </c>
      <c r="I186" s="265"/>
      <c r="J186" s="127" t="str">
        <f>IFERROR(ROUND(((J184*$W$2)+(J185*$W$3))/100,2),"")</f>
        <v/>
      </c>
      <c r="K186" s="127" t="str">
        <f t="shared" ref="K186" si="314">IFERROR(ROUND(((K184*$W$2)+(K185*$W$3))/100,2),"")</f>
        <v/>
      </c>
      <c r="L186" s="127" t="str">
        <f t="shared" ref="L186" si="315">IFERROR(ROUND(((L184*$W$2)+(L185*$W$3))/100,2),"")</f>
        <v/>
      </c>
      <c r="M186" s="127" t="str">
        <f t="shared" ref="M186" si="316">IFERROR(ROUND(((M184*$W$2)+(M185*$W$3))/100,2),"")</f>
        <v/>
      </c>
      <c r="N186" s="127" t="str">
        <f t="shared" ref="N186" si="317">IFERROR(ROUND(((N184*$W$2)+(N185*$W$3))/100,2),"")</f>
        <v/>
      </c>
      <c r="O186" s="127" t="str">
        <f t="shared" ref="O186" si="318">IFERROR(ROUND(((O184*$W$2)+(O185*$W$3))/100,2),"")</f>
        <v/>
      </c>
      <c r="P186" s="127" t="str">
        <f t="shared" ref="P186" si="319">IFERROR(ROUND(((P184*$W$2)+(P185*$W$3))/100,2),"")</f>
        <v/>
      </c>
      <c r="Q186" s="127" t="str">
        <f t="shared" ref="Q186" si="320">IFERROR(ROUND(((Q184*$W$2)+(Q185*$W$3))/100,2),"")</f>
        <v/>
      </c>
      <c r="R186" s="127" t="str">
        <f t="shared" ref="R186" si="321">IFERROR(ROUND(((R184*$W$2)+(R185*$W$3))/100,2),"")</f>
        <v/>
      </c>
      <c r="S186" s="127" t="str">
        <f t="shared" si="285"/>
        <v/>
      </c>
      <c r="T186" s="127" t="str">
        <f>IFERROR(AVERAGE(J186:R186),"")</f>
        <v/>
      </c>
      <c r="U186" s="76"/>
      <c r="V186" s="76"/>
      <c r="W186" s="258"/>
      <c r="X186" s="55"/>
      <c r="Z186" s="52" t="str">
        <f>IF(T186="","",T186)</f>
        <v/>
      </c>
    </row>
    <row r="187" spans="2:28" ht="20.25" customHeight="1" x14ac:dyDescent="0.3">
      <c r="B187" s="57">
        <f>IF('DATA SISWA &amp; SEK'!A40="","",'DATA SISWA &amp; SEK'!A40)</f>
        <v>37</v>
      </c>
      <c r="C187" s="58"/>
      <c r="D187" s="58"/>
      <c r="E187" s="58"/>
      <c r="F187" s="59"/>
      <c r="G187" s="60">
        <f>IF(B187="","",VLOOKUP(B187,'DATA SISWA &amp; SEK'!$A$4:$H$43,5,FALSE))</f>
        <v>0</v>
      </c>
      <c r="H187" s="61" t="s">
        <v>167</v>
      </c>
      <c r="I187" s="68" t="s">
        <v>165</v>
      </c>
      <c r="J187" s="69"/>
      <c r="K187" s="69"/>
      <c r="L187" s="95"/>
      <c r="M187" s="95"/>
      <c r="N187" s="95"/>
      <c r="O187" s="69"/>
      <c r="P187" s="69"/>
      <c r="Q187" s="69"/>
      <c r="R187" s="69"/>
      <c r="S187" s="62" t="str">
        <f t="shared" si="285"/>
        <v/>
      </c>
      <c r="T187" s="62" t="str">
        <f>IF(J187="","",AVERAGE(J187:R187))</f>
        <v/>
      </c>
      <c r="U187" s="63"/>
      <c r="V187" s="63"/>
      <c r="W187" s="256" t="str">
        <f>IF(T191="","",RANK(Z191,$Z$11:$Z$206,0))</f>
        <v/>
      </c>
      <c r="Z187" s="77"/>
      <c r="AA187" s="77"/>
      <c r="AB187" s="77"/>
    </row>
    <row r="188" spans="2:28" ht="20.25" customHeight="1" x14ac:dyDescent="0.25">
      <c r="B188" s="57"/>
      <c r="C188" s="58"/>
      <c r="D188" s="58"/>
      <c r="E188" s="58"/>
      <c r="F188" s="65"/>
      <c r="G188" s="66"/>
      <c r="H188" s="67"/>
      <c r="I188" s="68" t="s">
        <v>164</v>
      </c>
      <c r="J188" s="69"/>
      <c r="K188" s="69"/>
      <c r="L188" s="95"/>
      <c r="M188" s="95"/>
      <c r="N188" s="95"/>
      <c r="O188" s="69"/>
      <c r="P188" s="69"/>
      <c r="Q188" s="69"/>
      <c r="R188" s="69"/>
      <c r="S188" s="62" t="str">
        <f t="shared" si="285"/>
        <v/>
      </c>
      <c r="T188" s="62" t="str">
        <f>IF(J188="","",AVERAGE(J188:R188))</f>
        <v/>
      </c>
      <c r="U188" s="63"/>
      <c r="V188" s="63"/>
      <c r="W188" s="257"/>
      <c r="Z188" s="77"/>
      <c r="AA188" s="77"/>
      <c r="AB188" s="77"/>
    </row>
    <row r="189" spans="2:28" ht="20.25" customHeight="1" x14ac:dyDescent="0.25">
      <c r="B189" s="57"/>
      <c r="C189" s="58">
        <f>B187</f>
        <v>37</v>
      </c>
      <c r="D189" s="58"/>
      <c r="E189" s="58"/>
      <c r="F189" s="65"/>
      <c r="G189" s="66"/>
      <c r="H189" s="266" t="s">
        <v>161</v>
      </c>
      <c r="I189" s="267"/>
      <c r="J189" s="216" t="str">
        <f t="shared" ref="J189:R189" si="322">IFERROR(ROUND(AVERAGE(J187:J188),2),"")</f>
        <v/>
      </c>
      <c r="K189" s="216" t="str">
        <f t="shared" si="322"/>
        <v/>
      </c>
      <c r="L189" s="216" t="str">
        <f t="shared" si="322"/>
        <v/>
      </c>
      <c r="M189" s="216" t="str">
        <f t="shared" si="322"/>
        <v/>
      </c>
      <c r="N189" s="216" t="str">
        <f t="shared" si="322"/>
        <v/>
      </c>
      <c r="O189" s="216" t="str">
        <f t="shared" si="322"/>
        <v/>
      </c>
      <c r="P189" s="216" t="str">
        <f t="shared" si="322"/>
        <v/>
      </c>
      <c r="Q189" s="216" t="str">
        <f t="shared" si="322"/>
        <v/>
      </c>
      <c r="R189" s="216" t="str">
        <f t="shared" si="322"/>
        <v/>
      </c>
      <c r="S189" s="216" t="str">
        <f t="shared" si="285"/>
        <v/>
      </c>
      <c r="T189" s="216" t="str">
        <f>IFERROR(ROUND(AVERAGE(J189:R189),2),"")</f>
        <v/>
      </c>
      <c r="U189" s="70"/>
      <c r="V189" s="70"/>
      <c r="W189" s="257"/>
      <c r="X189" s="55"/>
    </row>
    <row r="190" spans="2:28" ht="20.25" customHeight="1" x14ac:dyDescent="0.25">
      <c r="B190" s="57"/>
      <c r="C190" s="58"/>
      <c r="D190" s="58"/>
      <c r="E190" s="58"/>
      <c r="F190" s="65"/>
      <c r="G190" s="66"/>
      <c r="H190" s="268" t="s">
        <v>162</v>
      </c>
      <c r="I190" s="269"/>
      <c r="J190" s="69"/>
      <c r="K190" s="69"/>
      <c r="L190" s="95"/>
      <c r="M190" s="95"/>
      <c r="N190" s="95"/>
      <c r="O190" s="69"/>
      <c r="P190" s="69"/>
      <c r="Q190" s="69"/>
      <c r="R190" s="69"/>
      <c r="S190" s="62" t="str">
        <f t="shared" si="285"/>
        <v/>
      </c>
      <c r="T190" s="62" t="str">
        <f>IF(J190="","",AVERAGE(J190:R190))</f>
        <v/>
      </c>
      <c r="U190" s="71"/>
      <c r="V190" s="71"/>
      <c r="W190" s="257"/>
    </row>
    <row r="191" spans="2:28" ht="28.5" customHeight="1" thickBot="1" x14ac:dyDescent="0.3">
      <c r="B191" s="72"/>
      <c r="C191" s="73"/>
      <c r="D191" s="73">
        <f>B187</f>
        <v>37</v>
      </c>
      <c r="E191" s="73"/>
      <c r="F191" s="74"/>
      <c r="G191" s="75"/>
      <c r="H191" s="264" t="s">
        <v>87</v>
      </c>
      <c r="I191" s="265"/>
      <c r="J191" s="127" t="str">
        <f>IFERROR(ROUND(((J189*$W$2)+(J190*$W$3))/100,2),"")</f>
        <v/>
      </c>
      <c r="K191" s="127" t="str">
        <f t="shared" ref="K191" si="323">IFERROR(ROUND(((K189*$W$2)+(K190*$W$3))/100,2),"")</f>
        <v/>
      </c>
      <c r="L191" s="127" t="str">
        <f t="shared" ref="L191" si="324">IFERROR(ROUND(((L189*$W$2)+(L190*$W$3))/100,2),"")</f>
        <v/>
      </c>
      <c r="M191" s="127" t="str">
        <f t="shared" ref="M191" si="325">IFERROR(ROUND(((M189*$W$2)+(M190*$W$3))/100,2),"")</f>
        <v/>
      </c>
      <c r="N191" s="127" t="str">
        <f t="shared" ref="N191" si="326">IFERROR(ROUND(((N189*$W$2)+(N190*$W$3))/100,2),"")</f>
        <v/>
      </c>
      <c r="O191" s="127" t="str">
        <f t="shared" ref="O191" si="327">IFERROR(ROUND(((O189*$W$2)+(O190*$W$3))/100,2),"")</f>
        <v/>
      </c>
      <c r="P191" s="127" t="str">
        <f t="shared" ref="P191" si="328">IFERROR(ROUND(((P189*$W$2)+(P190*$W$3))/100,2),"")</f>
        <v/>
      </c>
      <c r="Q191" s="127" t="str">
        <f t="shared" ref="Q191" si="329">IFERROR(ROUND(((Q189*$W$2)+(Q190*$W$3))/100,2),"")</f>
        <v/>
      </c>
      <c r="R191" s="127" t="str">
        <f t="shared" ref="R191" si="330">IFERROR(ROUND(((R189*$W$2)+(R190*$W$3))/100,2),"")</f>
        <v/>
      </c>
      <c r="S191" s="127" t="str">
        <f t="shared" si="285"/>
        <v/>
      </c>
      <c r="T191" s="127" t="str">
        <f>IFERROR(AVERAGE(J191:R191),"")</f>
        <v/>
      </c>
      <c r="U191" s="76"/>
      <c r="V191" s="76"/>
      <c r="W191" s="258"/>
      <c r="X191" s="55"/>
      <c r="Z191" s="52" t="str">
        <f>IF(T191="","",T191)</f>
        <v/>
      </c>
    </row>
    <row r="192" spans="2:28" ht="20.25" customHeight="1" x14ac:dyDescent="0.3">
      <c r="B192" s="57">
        <f>IF('DATA SISWA &amp; SEK'!A41="","",'DATA SISWA &amp; SEK'!A41)</f>
        <v>38</v>
      </c>
      <c r="C192" s="58"/>
      <c r="D192" s="58"/>
      <c r="E192" s="58"/>
      <c r="F192" s="59"/>
      <c r="G192" s="60">
        <f>IF(B192="","",VLOOKUP(B192,'DATA SISWA &amp; SEK'!$A$4:$H$43,5,FALSE))</f>
        <v>0</v>
      </c>
      <c r="H192" s="61" t="s">
        <v>167</v>
      </c>
      <c r="I192" s="68" t="s">
        <v>165</v>
      </c>
      <c r="J192" s="69"/>
      <c r="K192" s="69"/>
      <c r="L192" s="95"/>
      <c r="M192" s="95"/>
      <c r="N192" s="95"/>
      <c r="O192" s="69"/>
      <c r="P192" s="69"/>
      <c r="Q192" s="69"/>
      <c r="R192" s="69"/>
      <c r="S192" s="62" t="str">
        <f t="shared" si="285"/>
        <v/>
      </c>
      <c r="T192" s="62" t="str">
        <f>IF(J192="","",AVERAGE(J192:R192))</f>
        <v/>
      </c>
      <c r="U192" s="63"/>
      <c r="V192" s="63"/>
      <c r="W192" s="256" t="str">
        <f>IF(T196="","",RANK(Z196,$Z$11:$Z$206,0))</f>
        <v/>
      </c>
      <c r="Z192" s="77"/>
      <c r="AA192" s="77"/>
      <c r="AB192" s="77"/>
    </row>
    <row r="193" spans="2:28" ht="20.25" customHeight="1" x14ac:dyDescent="0.25">
      <c r="B193" s="57"/>
      <c r="C193" s="58"/>
      <c r="D193" s="58"/>
      <c r="E193" s="58"/>
      <c r="F193" s="65"/>
      <c r="G193" s="66"/>
      <c r="H193" s="67"/>
      <c r="I193" s="68" t="s">
        <v>164</v>
      </c>
      <c r="J193" s="69"/>
      <c r="K193" s="69"/>
      <c r="L193" s="95"/>
      <c r="M193" s="95"/>
      <c r="N193" s="95"/>
      <c r="O193" s="69"/>
      <c r="P193" s="69"/>
      <c r="Q193" s="69"/>
      <c r="R193" s="69"/>
      <c r="S193" s="62" t="str">
        <f t="shared" si="285"/>
        <v/>
      </c>
      <c r="T193" s="62" t="str">
        <f>IF(J193="","",AVERAGE(J193:R193))</f>
        <v/>
      </c>
      <c r="U193" s="63"/>
      <c r="V193" s="63"/>
      <c r="W193" s="257"/>
      <c r="Z193" s="77"/>
      <c r="AA193" s="77"/>
      <c r="AB193" s="77"/>
    </row>
    <row r="194" spans="2:28" ht="20.25" customHeight="1" x14ac:dyDescent="0.25">
      <c r="B194" s="57"/>
      <c r="C194" s="58">
        <f>B192</f>
        <v>38</v>
      </c>
      <c r="D194" s="58"/>
      <c r="E194" s="58"/>
      <c r="F194" s="65"/>
      <c r="G194" s="66"/>
      <c r="H194" s="266" t="s">
        <v>161</v>
      </c>
      <c r="I194" s="267"/>
      <c r="J194" s="216" t="str">
        <f t="shared" ref="J194:R194" si="331">IFERROR(ROUND(AVERAGE(J192:J193),2),"")</f>
        <v/>
      </c>
      <c r="K194" s="216" t="str">
        <f t="shared" si="331"/>
        <v/>
      </c>
      <c r="L194" s="216" t="str">
        <f t="shared" si="331"/>
        <v/>
      </c>
      <c r="M194" s="216" t="str">
        <f t="shared" si="331"/>
        <v/>
      </c>
      <c r="N194" s="216" t="str">
        <f t="shared" si="331"/>
        <v/>
      </c>
      <c r="O194" s="216" t="str">
        <f t="shared" si="331"/>
        <v/>
      </c>
      <c r="P194" s="216" t="str">
        <f t="shared" si="331"/>
        <v/>
      </c>
      <c r="Q194" s="216" t="str">
        <f t="shared" si="331"/>
        <v/>
      </c>
      <c r="R194" s="216" t="str">
        <f t="shared" si="331"/>
        <v/>
      </c>
      <c r="S194" s="216" t="str">
        <f t="shared" si="285"/>
        <v/>
      </c>
      <c r="T194" s="216" t="str">
        <f>IFERROR(ROUND(AVERAGE(J194:R194),2),"")</f>
        <v/>
      </c>
      <c r="U194" s="70"/>
      <c r="V194" s="70"/>
      <c r="W194" s="257"/>
      <c r="X194" s="55"/>
    </row>
    <row r="195" spans="2:28" ht="20.25" customHeight="1" x14ac:dyDescent="0.25">
      <c r="B195" s="57"/>
      <c r="C195" s="58"/>
      <c r="D195" s="58"/>
      <c r="E195" s="58"/>
      <c r="F195" s="65"/>
      <c r="G195" s="66"/>
      <c r="H195" s="268" t="s">
        <v>162</v>
      </c>
      <c r="I195" s="269"/>
      <c r="J195" s="69"/>
      <c r="K195" s="69"/>
      <c r="L195" s="95"/>
      <c r="M195" s="95"/>
      <c r="N195" s="95"/>
      <c r="O195" s="69"/>
      <c r="P195" s="69"/>
      <c r="Q195" s="69"/>
      <c r="R195" s="69"/>
      <c r="S195" s="62" t="str">
        <f t="shared" si="285"/>
        <v/>
      </c>
      <c r="T195" s="62" t="str">
        <f>IF(J195="","",AVERAGE(J195:R195))</f>
        <v/>
      </c>
      <c r="U195" s="71"/>
      <c r="V195" s="71"/>
      <c r="W195" s="257"/>
      <c r="Z195" s="77"/>
      <c r="AA195" s="77"/>
      <c r="AB195" s="77"/>
    </row>
    <row r="196" spans="2:28" ht="30" customHeight="1" thickBot="1" x14ac:dyDescent="0.3">
      <c r="B196" s="72"/>
      <c r="C196" s="73"/>
      <c r="D196" s="73">
        <f>B192</f>
        <v>38</v>
      </c>
      <c r="E196" s="73"/>
      <c r="F196" s="74"/>
      <c r="G196" s="75"/>
      <c r="H196" s="264" t="s">
        <v>87</v>
      </c>
      <c r="I196" s="265"/>
      <c r="J196" s="127" t="str">
        <f>IFERROR(ROUND(((J194*$W$2)+(J195*$W$3))/100,2),"")</f>
        <v/>
      </c>
      <c r="K196" s="127" t="str">
        <f t="shared" ref="K196" si="332">IFERROR(ROUND(((K194*$W$2)+(K195*$W$3))/100,2),"")</f>
        <v/>
      </c>
      <c r="L196" s="127" t="str">
        <f t="shared" ref="L196" si="333">IFERROR(ROUND(((L194*$W$2)+(L195*$W$3))/100,2),"")</f>
        <v/>
      </c>
      <c r="M196" s="127" t="str">
        <f t="shared" ref="M196" si="334">IFERROR(ROUND(((M194*$W$2)+(M195*$W$3))/100,2),"")</f>
        <v/>
      </c>
      <c r="N196" s="127" t="str">
        <f t="shared" ref="N196" si="335">IFERROR(ROUND(((N194*$W$2)+(N195*$W$3))/100,2),"")</f>
        <v/>
      </c>
      <c r="O196" s="127" t="str">
        <f t="shared" ref="O196" si="336">IFERROR(ROUND(((O194*$W$2)+(O195*$W$3))/100,2),"")</f>
        <v/>
      </c>
      <c r="P196" s="127" t="str">
        <f t="shared" ref="P196" si="337">IFERROR(ROUND(((P194*$W$2)+(P195*$W$3))/100,2),"")</f>
        <v/>
      </c>
      <c r="Q196" s="127" t="str">
        <f t="shared" ref="Q196" si="338">IFERROR(ROUND(((Q194*$W$2)+(Q195*$W$3))/100,2),"")</f>
        <v/>
      </c>
      <c r="R196" s="127" t="str">
        <f t="shared" ref="R196" si="339">IFERROR(ROUND(((R194*$W$2)+(R195*$W$3))/100,2),"")</f>
        <v/>
      </c>
      <c r="S196" s="127" t="str">
        <f t="shared" si="285"/>
        <v/>
      </c>
      <c r="T196" s="127" t="str">
        <f>IFERROR(AVERAGE(J196:R196),"")</f>
        <v/>
      </c>
      <c r="U196" s="76"/>
      <c r="V196" s="76"/>
      <c r="W196" s="258"/>
      <c r="X196" s="55"/>
      <c r="Z196" s="52" t="str">
        <f>IF(T196="","",T196)</f>
        <v/>
      </c>
    </row>
    <row r="197" spans="2:28" ht="15.75" customHeight="1" x14ac:dyDescent="0.3">
      <c r="B197" s="57">
        <f>IF('DATA SISWA &amp; SEK'!A42="","",'DATA SISWA &amp; SEK'!A42)</f>
        <v>39</v>
      </c>
      <c r="C197" s="58"/>
      <c r="D197" s="58"/>
      <c r="E197" s="58"/>
      <c r="F197" s="59"/>
      <c r="G197" s="60">
        <f>IF(B197="","",VLOOKUP(B197,'DATA SISWA &amp; SEK'!$A$4:$H$43,5,FALSE))</f>
        <v>0</v>
      </c>
      <c r="H197" s="61" t="s">
        <v>167</v>
      </c>
      <c r="I197" s="68" t="s">
        <v>165</v>
      </c>
      <c r="J197" s="140"/>
      <c r="K197" s="140"/>
      <c r="L197" s="141"/>
      <c r="M197" s="141"/>
      <c r="N197" s="141"/>
      <c r="O197" s="140"/>
      <c r="P197" s="140"/>
      <c r="Q197" s="140"/>
      <c r="R197" s="140"/>
      <c r="S197" s="142" t="str">
        <f t="shared" si="285"/>
        <v/>
      </c>
      <c r="T197" s="142" t="str">
        <f>IF(J197="","",AVERAGE(J197:R197))</f>
        <v/>
      </c>
      <c r="U197" s="63"/>
      <c r="V197" s="63"/>
      <c r="W197" s="256" t="str">
        <f>IF(T201="","",RANK(Z201,$Z$11:$Z$206,0))</f>
        <v/>
      </c>
      <c r="Z197" s="77"/>
      <c r="AA197" s="77"/>
      <c r="AB197" s="77"/>
    </row>
    <row r="198" spans="2:28" ht="15.75" customHeight="1" x14ac:dyDescent="0.25">
      <c r="B198" s="57"/>
      <c r="C198" s="58"/>
      <c r="D198" s="58"/>
      <c r="E198" s="58"/>
      <c r="F198" s="65"/>
      <c r="G198" s="66"/>
      <c r="H198" s="67"/>
      <c r="I198" s="68" t="s">
        <v>164</v>
      </c>
      <c r="J198" s="69"/>
      <c r="K198" s="69"/>
      <c r="L198" s="95"/>
      <c r="M198" s="95"/>
      <c r="N198" s="95"/>
      <c r="O198" s="69"/>
      <c r="P198" s="69"/>
      <c r="Q198" s="69"/>
      <c r="R198" s="69"/>
      <c r="S198" s="62" t="str">
        <f t="shared" si="285"/>
        <v/>
      </c>
      <c r="T198" s="62" t="str">
        <f>IF(J198="","",AVERAGE(J198:R198))</f>
        <v/>
      </c>
      <c r="U198" s="63"/>
      <c r="V198" s="63"/>
      <c r="W198" s="257"/>
      <c r="Z198" s="77"/>
      <c r="AA198" s="77"/>
      <c r="AB198" s="77"/>
    </row>
    <row r="199" spans="2:28" ht="24.75" customHeight="1" x14ac:dyDescent="0.25">
      <c r="B199" s="57"/>
      <c r="C199" s="58">
        <f>B197</f>
        <v>39</v>
      </c>
      <c r="D199" s="58"/>
      <c r="E199" s="58"/>
      <c r="F199" s="65"/>
      <c r="G199" s="66"/>
      <c r="H199" s="266" t="s">
        <v>161</v>
      </c>
      <c r="I199" s="267"/>
      <c r="J199" s="216" t="str">
        <f t="shared" ref="J199:R199" si="340">IFERROR(ROUND(AVERAGE(J197:J198),2),"")</f>
        <v/>
      </c>
      <c r="K199" s="216" t="str">
        <f t="shared" si="340"/>
        <v/>
      </c>
      <c r="L199" s="216" t="str">
        <f t="shared" si="340"/>
        <v/>
      </c>
      <c r="M199" s="216" t="str">
        <f t="shared" si="340"/>
        <v/>
      </c>
      <c r="N199" s="216" t="str">
        <f t="shared" si="340"/>
        <v/>
      </c>
      <c r="O199" s="216" t="str">
        <f t="shared" si="340"/>
        <v/>
      </c>
      <c r="P199" s="216" t="str">
        <f t="shared" si="340"/>
        <v/>
      </c>
      <c r="Q199" s="216" t="str">
        <f t="shared" si="340"/>
        <v/>
      </c>
      <c r="R199" s="216" t="str">
        <f t="shared" si="340"/>
        <v/>
      </c>
      <c r="S199" s="216" t="str">
        <f t="shared" si="285"/>
        <v/>
      </c>
      <c r="T199" s="216" t="str">
        <f>IFERROR(ROUND(AVERAGE(J199:R199),2),"")</f>
        <v/>
      </c>
      <c r="U199" s="70"/>
      <c r="V199" s="70"/>
      <c r="W199" s="257"/>
      <c r="X199" s="55"/>
    </row>
    <row r="200" spans="2:28" ht="15.75" customHeight="1" x14ac:dyDescent="0.25">
      <c r="B200" s="57"/>
      <c r="C200" s="58"/>
      <c r="D200" s="58"/>
      <c r="E200" s="58"/>
      <c r="F200" s="65"/>
      <c r="G200" s="66"/>
      <c r="H200" s="268" t="s">
        <v>162</v>
      </c>
      <c r="I200" s="269"/>
      <c r="J200" s="69"/>
      <c r="K200" s="69"/>
      <c r="L200" s="95"/>
      <c r="M200" s="95"/>
      <c r="N200" s="95"/>
      <c r="O200" s="69"/>
      <c r="P200" s="69"/>
      <c r="Q200" s="69"/>
      <c r="R200" s="69"/>
      <c r="S200" s="62" t="str">
        <f t="shared" si="285"/>
        <v/>
      </c>
      <c r="T200" s="62" t="str">
        <f>IF(J200="","",AVERAGE(J200:R200))</f>
        <v/>
      </c>
      <c r="U200" s="71"/>
      <c r="V200" s="71"/>
      <c r="W200" s="257"/>
      <c r="Z200" s="77"/>
      <c r="AA200" s="77"/>
      <c r="AB200" s="77"/>
    </row>
    <row r="201" spans="2:28" ht="15.75" customHeight="1" thickBot="1" x14ac:dyDescent="0.3">
      <c r="B201" s="72"/>
      <c r="C201" s="73"/>
      <c r="D201" s="73">
        <f>B197</f>
        <v>39</v>
      </c>
      <c r="E201" s="73"/>
      <c r="F201" s="74"/>
      <c r="G201" s="75"/>
      <c r="H201" s="264" t="s">
        <v>87</v>
      </c>
      <c r="I201" s="265"/>
      <c r="J201" s="127" t="str">
        <f>IFERROR(ROUND(((J199*$W$2)+(J200*$W$3))/100,2),"")</f>
        <v/>
      </c>
      <c r="K201" s="127" t="str">
        <f t="shared" ref="K201" si="341">IFERROR(ROUND(((K199*$W$2)+(K200*$W$3))/100,2),"")</f>
        <v/>
      </c>
      <c r="L201" s="127" t="str">
        <f t="shared" ref="L201" si="342">IFERROR(ROUND(((L199*$W$2)+(L200*$W$3))/100,2),"")</f>
        <v/>
      </c>
      <c r="M201" s="127" t="str">
        <f t="shared" ref="M201" si="343">IFERROR(ROUND(((M199*$W$2)+(M200*$W$3))/100,2),"")</f>
        <v/>
      </c>
      <c r="N201" s="127" t="str">
        <f t="shared" ref="N201" si="344">IFERROR(ROUND(((N199*$W$2)+(N200*$W$3))/100,2),"")</f>
        <v/>
      </c>
      <c r="O201" s="127" t="str">
        <f t="shared" ref="O201" si="345">IFERROR(ROUND(((O199*$W$2)+(O200*$W$3))/100,2),"")</f>
        <v/>
      </c>
      <c r="P201" s="127" t="str">
        <f t="shared" ref="P201" si="346">IFERROR(ROUND(((P199*$W$2)+(P200*$W$3))/100,2),"")</f>
        <v/>
      </c>
      <c r="Q201" s="127" t="str">
        <f t="shared" ref="Q201" si="347">IFERROR(ROUND(((Q199*$W$2)+(Q200*$W$3))/100,2),"")</f>
        <v/>
      </c>
      <c r="R201" s="127" t="str">
        <f t="shared" ref="R201" si="348">IFERROR(ROUND(((R199*$W$2)+(R200*$W$3))/100,2),"")</f>
        <v/>
      </c>
      <c r="S201" s="127" t="str">
        <f t="shared" si="285"/>
        <v/>
      </c>
      <c r="T201" s="127" t="str">
        <f>IFERROR(AVERAGE(J201:R201),"")</f>
        <v/>
      </c>
      <c r="U201" s="76"/>
      <c r="V201" s="76"/>
      <c r="W201" s="258"/>
      <c r="X201" s="55"/>
      <c r="Z201" s="52" t="str">
        <f>IF(T201="","",T201)</f>
        <v/>
      </c>
    </row>
    <row r="202" spans="2:28" ht="15.75" customHeight="1" x14ac:dyDescent="0.3">
      <c r="B202" s="57">
        <f>IF('DATA SISWA &amp; SEK'!A43="","",'DATA SISWA &amp; SEK'!A43)</f>
        <v>40</v>
      </c>
      <c r="C202" s="58"/>
      <c r="D202" s="58"/>
      <c r="E202" s="58"/>
      <c r="F202" s="59"/>
      <c r="G202" s="60">
        <f>IF(B202="","",VLOOKUP(B202,'DATA SISWA &amp; SEK'!$A$4:$H$43,5,FALSE))</f>
        <v>0</v>
      </c>
      <c r="H202" s="61" t="s">
        <v>167</v>
      </c>
      <c r="I202" s="68" t="s">
        <v>165</v>
      </c>
      <c r="J202" s="140"/>
      <c r="K202" s="140"/>
      <c r="L202" s="141"/>
      <c r="M202" s="141"/>
      <c r="N202" s="141"/>
      <c r="O202" s="140"/>
      <c r="P202" s="140"/>
      <c r="Q202" s="140"/>
      <c r="R202" s="140"/>
      <c r="S202" s="142" t="str">
        <f t="shared" si="285"/>
        <v/>
      </c>
      <c r="T202" s="142" t="str">
        <f>IF(J202="","",AVERAGE(J202:R202))</f>
        <v/>
      </c>
      <c r="U202" s="63"/>
      <c r="V202" s="63"/>
      <c r="W202" s="256" t="str">
        <f>IF(T206="","",RANK(Z206,$Z$11:$Z$206,0))</f>
        <v/>
      </c>
      <c r="Z202" s="77"/>
      <c r="AA202" s="77"/>
      <c r="AB202" s="77"/>
    </row>
    <row r="203" spans="2:28" ht="15.75" customHeight="1" x14ac:dyDescent="0.25">
      <c r="B203" s="57"/>
      <c r="C203" s="58"/>
      <c r="D203" s="58"/>
      <c r="E203" s="58"/>
      <c r="F203" s="65"/>
      <c r="G203" s="66"/>
      <c r="H203" s="67"/>
      <c r="I203" s="68" t="s">
        <v>164</v>
      </c>
      <c r="J203" s="69"/>
      <c r="K203" s="69"/>
      <c r="L203" s="95"/>
      <c r="M203" s="95"/>
      <c r="N203" s="95"/>
      <c r="O203" s="69"/>
      <c r="P203" s="69"/>
      <c r="Q203" s="69"/>
      <c r="R203" s="69"/>
      <c r="S203" s="62" t="str">
        <f t="shared" si="285"/>
        <v/>
      </c>
      <c r="T203" s="62" t="str">
        <f>IF(J203="","",AVERAGE(J203:R203))</f>
        <v/>
      </c>
      <c r="U203" s="63"/>
      <c r="V203" s="63"/>
      <c r="W203" s="257"/>
      <c r="Z203" s="77"/>
      <c r="AA203" s="77"/>
      <c r="AB203" s="77"/>
    </row>
    <row r="204" spans="2:28" ht="24.75" customHeight="1" x14ac:dyDescent="0.25">
      <c r="B204" s="57"/>
      <c r="C204" s="58">
        <f>B202</f>
        <v>40</v>
      </c>
      <c r="D204" s="58"/>
      <c r="E204" s="58"/>
      <c r="F204" s="65"/>
      <c r="G204" s="66"/>
      <c r="H204" s="266" t="s">
        <v>161</v>
      </c>
      <c r="I204" s="267"/>
      <c r="J204" s="216" t="str">
        <f t="shared" ref="J204:R204" si="349">IFERROR(ROUND(AVERAGE(J202:J203),2),"")</f>
        <v/>
      </c>
      <c r="K204" s="216" t="str">
        <f t="shared" si="349"/>
        <v/>
      </c>
      <c r="L204" s="216" t="str">
        <f t="shared" si="349"/>
        <v/>
      </c>
      <c r="M204" s="216" t="str">
        <f t="shared" si="349"/>
        <v/>
      </c>
      <c r="N204" s="216" t="str">
        <f t="shared" si="349"/>
        <v/>
      </c>
      <c r="O204" s="216" t="str">
        <f t="shared" si="349"/>
        <v/>
      </c>
      <c r="P204" s="216" t="str">
        <f t="shared" si="349"/>
        <v/>
      </c>
      <c r="Q204" s="216" t="str">
        <f t="shared" si="349"/>
        <v/>
      </c>
      <c r="R204" s="216" t="str">
        <f t="shared" si="349"/>
        <v/>
      </c>
      <c r="S204" s="216" t="str">
        <f t="shared" ref="S204:S206" si="350">IF(J204="","",SUM(J204:R204))</f>
        <v/>
      </c>
      <c r="T204" s="216" t="str">
        <f>IFERROR(ROUND(AVERAGE(J204:R204),2),"")</f>
        <v/>
      </c>
      <c r="U204" s="70"/>
      <c r="V204" s="70"/>
      <c r="W204" s="257"/>
      <c r="X204" s="55"/>
    </row>
    <row r="205" spans="2:28" ht="15.75" customHeight="1" x14ac:dyDescent="0.25">
      <c r="B205" s="57"/>
      <c r="C205" s="58"/>
      <c r="D205" s="58"/>
      <c r="E205" s="58"/>
      <c r="F205" s="65"/>
      <c r="G205" s="66"/>
      <c r="H205" s="268" t="s">
        <v>162</v>
      </c>
      <c r="I205" s="269"/>
      <c r="J205" s="69"/>
      <c r="K205" s="69"/>
      <c r="L205" s="95"/>
      <c r="M205" s="95"/>
      <c r="N205" s="95"/>
      <c r="O205" s="69"/>
      <c r="P205" s="69"/>
      <c r="Q205" s="69"/>
      <c r="R205" s="69"/>
      <c r="S205" s="62" t="str">
        <f t="shared" si="350"/>
        <v/>
      </c>
      <c r="T205" s="62" t="str">
        <f>IF(J205="","",AVERAGE(J205:R205))</f>
        <v/>
      </c>
      <c r="U205" s="71"/>
      <c r="V205" s="71"/>
      <c r="W205" s="257"/>
      <c r="Z205" s="77"/>
      <c r="AA205" s="77"/>
      <c r="AB205" s="77"/>
    </row>
    <row r="206" spans="2:28" ht="15.75" customHeight="1" thickBot="1" x14ac:dyDescent="0.3">
      <c r="B206" s="72"/>
      <c r="C206" s="73"/>
      <c r="D206" s="73">
        <f>B202</f>
        <v>40</v>
      </c>
      <c r="E206" s="73"/>
      <c r="F206" s="74"/>
      <c r="G206" s="75"/>
      <c r="H206" s="264" t="s">
        <v>87</v>
      </c>
      <c r="I206" s="265"/>
      <c r="J206" s="127" t="str">
        <f>IFERROR(ROUND(((J204*$W$2)+(J205*$W$3))/100,2),"")</f>
        <v/>
      </c>
      <c r="K206" s="127" t="str">
        <f t="shared" ref="K206:R206" si="351">IFERROR(ROUND(((K204*$W$2)+(K205*$W$3))/100,2),"")</f>
        <v/>
      </c>
      <c r="L206" s="127" t="str">
        <f t="shared" si="351"/>
        <v/>
      </c>
      <c r="M206" s="127" t="str">
        <f t="shared" si="351"/>
        <v/>
      </c>
      <c r="N206" s="127" t="str">
        <f t="shared" si="351"/>
        <v/>
      </c>
      <c r="O206" s="127" t="str">
        <f t="shared" si="351"/>
        <v/>
      </c>
      <c r="P206" s="127" t="str">
        <f t="shared" si="351"/>
        <v/>
      </c>
      <c r="Q206" s="127" t="str">
        <f t="shared" si="351"/>
        <v/>
      </c>
      <c r="R206" s="127" t="str">
        <f t="shared" si="351"/>
        <v/>
      </c>
      <c r="S206" s="127" t="str">
        <f t="shared" si="350"/>
        <v/>
      </c>
      <c r="T206" s="127" t="str">
        <f>IFERROR(AVERAGE(J206:R206),"")</f>
        <v/>
      </c>
      <c r="U206" s="76"/>
      <c r="V206" s="76"/>
      <c r="W206" s="259"/>
      <c r="X206" s="55"/>
      <c r="Z206" s="52" t="str">
        <f>IF(T206="","",T206)</f>
        <v/>
      </c>
    </row>
    <row r="207" spans="2:28" s="55" customFormat="1" ht="18.75" customHeight="1" x14ac:dyDescent="0.25">
      <c r="B207" s="78"/>
      <c r="C207" s="64"/>
      <c r="D207" s="64"/>
      <c r="E207" s="64"/>
      <c r="F207" s="79"/>
      <c r="G207" s="52"/>
      <c r="H207" s="52"/>
      <c r="I207" s="52"/>
      <c r="J207" s="52"/>
      <c r="K207" s="52"/>
      <c r="L207" s="83"/>
      <c r="M207" s="83"/>
      <c r="N207" s="83"/>
      <c r="O207" s="52"/>
      <c r="P207" s="52"/>
      <c r="Q207" s="52"/>
      <c r="R207" s="52"/>
      <c r="S207" s="52"/>
      <c r="T207" s="52"/>
      <c r="U207" s="52"/>
      <c r="V207" s="52"/>
      <c r="W207" s="52"/>
    </row>
    <row r="208" spans="2:28" s="77" customFormat="1" ht="16.5" customHeight="1" x14ac:dyDescent="0.25">
      <c r="B208" s="80"/>
      <c r="F208" s="81"/>
      <c r="G208" s="52"/>
      <c r="H208" s="52"/>
      <c r="I208" s="52"/>
      <c r="J208" s="52"/>
      <c r="K208" s="52"/>
      <c r="L208" s="83"/>
      <c r="M208" s="39" t="str">
        <f>'DATA SISWA &amp; SEK'!E68</f>
        <v>Kab. Kulon Progo, 15 Juni 2022</v>
      </c>
      <c r="N208" s="83"/>
      <c r="O208" s="52"/>
      <c r="P208" s="52"/>
      <c r="Q208" s="52"/>
      <c r="R208" s="52"/>
      <c r="S208" s="52"/>
      <c r="T208" s="52"/>
      <c r="U208" s="52"/>
      <c r="V208" s="52"/>
      <c r="W208" s="52"/>
    </row>
    <row r="209" spans="2:23" s="77" customFormat="1" ht="6.75" customHeight="1" x14ac:dyDescent="0.25">
      <c r="B209" s="80"/>
      <c r="F209" s="81"/>
      <c r="G209" s="52"/>
      <c r="H209" s="52"/>
      <c r="I209" s="52"/>
      <c r="J209" s="52"/>
      <c r="K209" s="52"/>
      <c r="L209" s="83"/>
      <c r="M209" s="83"/>
      <c r="N209" s="83"/>
      <c r="O209" s="52"/>
      <c r="P209" s="52"/>
      <c r="Q209" s="52"/>
      <c r="R209" s="52"/>
      <c r="S209" s="52"/>
      <c r="T209" s="52"/>
      <c r="U209" s="52"/>
      <c r="V209" s="52"/>
      <c r="W209" s="52"/>
    </row>
    <row r="210" spans="2:23" s="77" customFormat="1" ht="12.75" customHeight="1" x14ac:dyDescent="0.25">
      <c r="B210" s="80"/>
      <c r="G210" t="s">
        <v>21</v>
      </c>
      <c r="H210" s="52"/>
      <c r="I210" s="52"/>
      <c r="J210" s="52"/>
      <c r="K210" s="52"/>
      <c r="L210" s="83"/>
      <c r="M210" s="83"/>
      <c r="N210" s="83"/>
      <c r="O210" s="52"/>
      <c r="P210" s="52"/>
      <c r="Q210" s="52"/>
      <c r="R210" s="52"/>
      <c r="S210" s="52"/>
      <c r="T210" s="52"/>
      <c r="U210" s="52"/>
      <c r="V210" s="52"/>
      <c r="W210" s="52"/>
    </row>
    <row r="211" spans="2:23" s="77" customFormat="1" ht="12.75" customHeight="1" x14ac:dyDescent="0.25">
      <c r="B211" s="80"/>
      <c r="G211" t="s">
        <v>15</v>
      </c>
      <c r="H211" s="52"/>
      <c r="I211" s="52"/>
      <c r="J211" s="52"/>
      <c r="K211" s="52"/>
      <c r="L211" s="39" t="s">
        <v>66</v>
      </c>
      <c r="M211" s="83"/>
      <c r="N211" s="83"/>
      <c r="O211" s="52"/>
      <c r="P211" s="52"/>
      <c r="Q211" s="52"/>
      <c r="R211" s="52"/>
      <c r="S211" s="52"/>
      <c r="T211" s="52"/>
      <c r="U211" s="52"/>
      <c r="V211" s="52"/>
      <c r="W211" s="52"/>
    </row>
    <row r="212" spans="2:23" s="77" customFormat="1" ht="7.5" customHeight="1" x14ac:dyDescent="0.25">
      <c r="B212" s="80"/>
      <c r="G212"/>
      <c r="H212" s="52"/>
      <c r="I212" s="52"/>
      <c r="J212" s="52"/>
      <c r="K212" s="52"/>
      <c r="L212" s="39"/>
      <c r="M212" s="83"/>
      <c r="N212" s="83"/>
      <c r="O212" s="52"/>
      <c r="P212" s="52"/>
      <c r="Q212" s="52"/>
      <c r="R212" s="52"/>
      <c r="S212" s="52"/>
      <c r="T212" s="52"/>
      <c r="U212" s="52"/>
      <c r="V212" s="52"/>
      <c r="W212" s="52"/>
    </row>
    <row r="213" spans="2:23" s="77" customFormat="1" ht="7.5" customHeight="1" x14ac:dyDescent="0.25">
      <c r="B213" s="80"/>
      <c r="G213"/>
      <c r="H213" s="52"/>
      <c r="I213" s="52"/>
      <c r="J213" s="52"/>
      <c r="K213" s="52"/>
      <c r="L213" s="39"/>
      <c r="M213" s="83"/>
      <c r="N213" s="83"/>
      <c r="O213" s="52"/>
      <c r="P213" s="52"/>
      <c r="Q213" s="52"/>
      <c r="R213" s="52"/>
      <c r="S213" s="52"/>
      <c r="T213" s="52"/>
      <c r="U213" s="52"/>
      <c r="V213" s="52"/>
      <c r="W213" s="52"/>
    </row>
    <row r="214" spans="2:23" s="77" customFormat="1" ht="7.5" customHeight="1" x14ac:dyDescent="0.25">
      <c r="B214" s="80"/>
      <c r="G214"/>
      <c r="H214" s="52"/>
      <c r="I214" s="52"/>
      <c r="J214" s="52"/>
      <c r="K214" s="52"/>
      <c r="L214"/>
      <c r="M214" s="83"/>
      <c r="N214" s="83"/>
      <c r="O214" s="52"/>
      <c r="P214" s="52"/>
      <c r="Q214" s="52"/>
      <c r="R214" s="52"/>
      <c r="S214" s="52"/>
      <c r="T214" s="52"/>
      <c r="U214" s="52"/>
      <c r="V214" s="52"/>
      <c r="W214" s="52"/>
    </row>
    <row r="215" spans="2:23" s="77" customFormat="1" ht="15" customHeight="1" x14ac:dyDescent="0.25">
      <c r="B215" s="80"/>
      <c r="G215" s="208" t="str">
        <f>'DATA SISWA &amp; SEK'!E64</f>
        <v>RR.RUMIYATI, S.Pd.</v>
      </c>
      <c r="H215" s="52"/>
      <c r="I215" s="52"/>
      <c r="J215" s="52"/>
      <c r="K215" s="52"/>
      <c r="L215" s="208" t="str">
        <f>'DATA SISWA &amp; SEK'!E66</f>
        <v>TUMINAH, S.Pd.SD.</v>
      </c>
      <c r="M215" s="83"/>
      <c r="N215" s="83"/>
      <c r="O215" s="52"/>
      <c r="P215" s="52"/>
      <c r="Q215" s="52"/>
      <c r="R215" s="52"/>
      <c r="S215" s="52"/>
      <c r="T215" s="52"/>
      <c r="U215" s="52"/>
      <c r="V215" s="52"/>
      <c r="W215" s="52"/>
    </row>
    <row r="216" spans="2:23" x14ac:dyDescent="0.25">
      <c r="F216" s="52"/>
      <c r="G216" s="208" t="str">
        <f>"NIP "&amp;'DATA SISWA &amp; SEK'!E65</f>
        <v>NIP 19650409 199312 2 002</v>
      </c>
      <c r="L216" s="208" t="str">
        <f>"NIP "&amp;'DATA SISWA &amp; SEK'!E67</f>
        <v>NIP 19730619 200103 2 001</v>
      </c>
    </row>
    <row r="217" spans="2:23" x14ac:dyDescent="0.25"/>
    <row r="218" spans="2:23" x14ac:dyDescent="0.25"/>
    <row r="219" spans="2:23" x14ac:dyDescent="0.25"/>
    <row r="220" spans="2:23" x14ac:dyDescent="0.25"/>
    <row r="221" spans="2:23" x14ac:dyDescent="0.25"/>
    <row r="222" spans="2:23" x14ac:dyDescent="0.25"/>
    <row r="223" spans="2:23" x14ac:dyDescent="0.25"/>
    <row r="224" spans="2:23"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sheetData>
  <sheetProtection sheet="1" objects="1" scenarios="1" formatColumns="0" formatRows="0"/>
  <mergeCells count="174">
    <mergeCell ref="H91:I91"/>
    <mergeCell ref="H94:I94"/>
    <mergeCell ref="H151:I151"/>
    <mergeCell ref="H204:I204"/>
    <mergeCell ref="H39:I39"/>
    <mergeCell ref="H60:I60"/>
    <mergeCell ref="H61:I61"/>
    <mergeCell ref="H40:I40"/>
    <mergeCell ref="H64:I64"/>
    <mergeCell ref="H49:I49"/>
    <mergeCell ref="H51:I51"/>
    <mergeCell ref="H54:I54"/>
    <mergeCell ref="H59:I59"/>
    <mergeCell ref="H50:I50"/>
    <mergeCell ref="H74:I74"/>
    <mergeCell ref="H76:I76"/>
    <mergeCell ref="H79:I79"/>
    <mergeCell ref="H81:I81"/>
    <mergeCell ref="H84:I84"/>
    <mergeCell ref="H106:I106"/>
    <mergeCell ref="H109:I109"/>
    <mergeCell ref="H105:I105"/>
    <mergeCell ref="H129:I129"/>
    <mergeCell ref="H111:I111"/>
    <mergeCell ref="H119:I119"/>
    <mergeCell ref="H121:I121"/>
    <mergeCell ref="H134:I134"/>
    <mergeCell ref="H130:I130"/>
    <mergeCell ref="H206:I206"/>
    <mergeCell ref="H136:I136"/>
    <mergeCell ref="H139:I139"/>
    <mergeCell ref="H141:I141"/>
    <mergeCell ref="H144:I144"/>
    <mergeCell ref="H146:I146"/>
    <mergeCell ref="H145:I145"/>
    <mergeCell ref="H150:I150"/>
    <mergeCell ref="H205:I205"/>
    <mergeCell ref="H140:I140"/>
    <mergeCell ref="H154:I154"/>
    <mergeCell ref="H155:I155"/>
    <mergeCell ref="H156:I156"/>
    <mergeCell ref="H159:I159"/>
    <mergeCell ref="H160:I160"/>
    <mergeCell ref="H196:I196"/>
    <mergeCell ref="H184:I184"/>
    <mergeCell ref="H185:I185"/>
    <mergeCell ref="H186:I186"/>
    <mergeCell ref="H189:I189"/>
    <mergeCell ref="B1:Q1"/>
    <mergeCell ref="B2:Q2"/>
    <mergeCell ref="B3:Q3"/>
    <mergeCell ref="H45:I45"/>
    <mergeCell ref="H11:I11"/>
    <mergeCell ref="H9:I9"/>
    <mergeCell ref="H16:I16"/>
    <mergeCell ref="H21:I21"/>
    <mergeCell ref="H14:I14"/>
    <mergeCell ref="H19:I19"/>
    <mergeCell ref="H10:I10"/>
    <mergeCell ref="H15:I15"/>
    <mergeCell ref="H20:I20"/>
    <mergeCell ref="H35:I35"/>
    <mergeCell ref="H36:I36"/>
    <mergeCell ref="H24:I24"/>
    <mergeCell ref="H26:I26"/>
    <mergeCell ref="H29:I29"/>
    <mergeCell ref="H31:I31"/>
    <mergeCell ref="H34:I34"/>
    <mergeCell ref="H30:I30"/>
    <mergeCell ref="H199:I199"/>
    <mergeCell ref="H200:I200"/>
    <mergeCell ref="H195:I195"/>
    <mergeCell ref="S5:S6"/>
    <mergeCell ref="G5:G6"/>
    <mergeCell ref="F5:F6"/>
    <mergeCell ref="B5:B6"/>
    <mergeCell ref="J5:R5"/>
    <mergeCell ref="H5:I6"/>
    <mergeCell ref="H65:I65"/>
    <mergeCell ref="H55:I55"/>
    <mergeCell ref="H56:I56"/>
    <mergeCell ref="H25:I25"/>
    <mergeCell ref="H41:I41"/>
    <mergeCell ref="H44:I44"/>
    <mergeCell ref="H46:I46"/>
    <mergeCell ref="H190:I190"/>
    <mergeCell ref="H149:I149"/>
    <mergeCell ref="H124:I124"/>
    <mergeCell ref="H125:I125"/>
    <mergeCell ref="H126:I126"/>
    <mergeCell ref="H96:I96"/>
    <mergeCell ref="H95:I95"/>
    <mergeCell ref="H99:I99"/>
    <mergeCell ref="H71:I71"/>
    <mergeCell ref="H70:I70"/>
    <mergeCell ref="H191:I191"/>
    <mergeCell ref="H194:I194"/>
    <mergeCell ref="H75:I75"/>
    <mergeCell ref="H80:I80"/>
    <mergeCell ref="H85:I85"/>
    <mergeCell ref="H86:I86"/>
    <mergeCell ref="H89:I89"/>
    <mergeCell ref="H90:I90"/>
    <mergeCell ref="H135:I135"/>
    <mergeCell ref="H100:I100"/>
    <mergeCell ref="H101:I101"/>
    <mergeCell ref="H131:I131"/>
    <mergeCell ref="H120:I120"/>
    <mergeCell ref="H116:I116"/>
    <mergeCell ref="H110:I110"/>
    <mergeCell ref="H114:I114"/>
    <mergeCell ref="H115:I115"/>
    <mergeCell ref="H104:I104"/>
    <mergeCell ref="H161:I161"/>
    <mergeCell ref="H164:I164"/>
    <mergeCell ref="H165:I165"/>
    <mergeCell ref="H166:I166"/>
    <mergeCell ref="W117:W121"/>
    <mergeCell ref="W122:W126"/>
    <mergeCell ref="W127:W131"/>
    <mergeCell ref="W132:W136"/>
    <mergeCell ref="H201:I201"/>
    <mergeCell ref="W5:W6"/>
    <mergeCell ref="W7:W11"/>
    <mergeCell ref="W12:W16"/>
    <mergeCell ref="W17:W21"/>
    <mergeCell ref="W22:W26"/>
    <mergeCell ref="W27:W31"/>
    <mergeCell ref="W32:W36"/>
    <mergeCell ref="W37:W41"/>
    <mergeCell ref="W42:W46"/>
    <mergeCell ref="W47:W51"/>
    <mergeCell ref="W52:W56"/>
    <mergeCell ref="W57:W61"/>
    <mergeCell ref="W62:W66"/>
    <mergeCell ref="W67:W71"/>
    <mergeCell ref="W72:W76"/>
    <mergeCell ref="W77:W81"/>
    <mergeCell ref="W82:W86"/>
    <mergeCell ref="H66:I66"/>
    <mergeCell ref="H69:I69"/>
    <mergeCell ref="H176:I176"/>
    <mergeCell ref="H179:I179"/>
    <mergeCell ref="H180:I180"/>
    <mergeCell ref="H181:I181"/>
    <mergeCell ref="H169:I169"/>
    <mergeCell ref="H170:I170"/>
    <mergeCell ref="H171:I171"/>
    <mergeCell ref="H174:I174"/>
    <mergeCell ref="H175:I175"/>
    <mergeCell ref="R1:W1"/>
    <mergeCell ref="W197:W201"/>
    <mergeCell ref="W202:W206"/>
    <mergeCell ref="W137:W141"/>
    <mergeCell ref="W142:W146"/>
    <mergeCell ref="W147:W151"/>
    <mergeCell ref="W152:W156"/>
    <mergeCell ref="W157:W161"/>
    <mergeCell ref="W162:W166"/>
    <mergeCell ref="W167:W171"/>
    <mergeCell ref="W172:W176"/>
    <mergeCell ref="W177:W181"/>
    <mergeCell ref="W87:W91"/>
    <mergeCell ref="T5:T6"/>
    <mergeCell ref="U5:U6"/>
    <mergeCell ref="V5:V6"/>
    <mergeCell ref="W182:W186"/>
    <mergeCell ref="W187:W191"/>
    <mergeCell ref="W192:W196"/>
    <mergeCell ref="W92:W96"/>
    <mergeCell ref="W97:W101"/>
    <mergeCell ref="W102:W106"/>
    <mergeCell ref="W107:W111"/>
    <mergeCell ref="W112:W116"/>
  </mergeCells>
  <conditionalFormatting sqref="J161:R161 J106:R106 J101:R101 J96:R96 J11:R11 J16:R16 J21:R21 J26:R26 J31:R31 J36:R36 J41:R41 J46:R46 J51:R51 J56:R56 J61:R61 J66:R66 J71:R71 J76:R76 J81:R81 J86:R86 J91:R91 J111:R111 J116:R116 J121:R121 J126:R126 J131:R131 J136:R136 J141:R141 J146:R146 J151:R151 J156:R156 J166:R166 J171:R171 J176:R176 J181:R181 J186:R186 J191:R191 J196:R196 J201:R201 J206:R206">
    <cfRule type="cellIs" dxfId="7" priority="1080" operator="lessThan">
      <formula>$AC$8</formula>
    </cfRule>
  </conditionalFormatting>
  <conditionalFormatting sqref="K161:M161 K106:M106 K101:M101 K96:M96 K11:M11 K16:M16 K21:M21 K26:M26 K31:M31 K36:M36 K41:M41 K46:M46 K51:M51 K56:M56 K61:M61 K66:M66 K71:M71 K76:M76 K81:M81 K86:M86 K91:M91 K111:M111 K116:M116 K121:M121 K126:M126 K131:M131 K136:M136 K141:M141 K146:M146 K151:M151 K156:M156 K166:M166 K171:M171 K176:M176 K181:M181 K186:M186 K191:M191 K196:M196 K201:M201 K206:M206">
    <cfRule type="cellIs" dxfId="6" priority="1079" operator="lessThan">
      <formula>#REF!</formula>
    </cfRule>
  </conditionalFormatting>
  <conditionalFormatting sqref="N161 N106 N101 N96 N11 N16 N21 N26 N31 N36 N41 N46 N51 N56 N61 N66 N71 N76 N81 N86 N91 N111 N116 N121 N126 N131 N136 N141 N146 N151 N156 N166 N171 N176 N181 N186 N191 N196 N201 N206">
    <cfRule type="cellIs" dxfId="5" priority="1076" operator="lessThan">
      <formula>$AC$9</formula>
    </cfRule>
  </conditionalFormatting>
  <conditionalFormatting sqref="O161 O106 O101 O96 O11 O16 O21 O26 O31 O36 O41 O46 O51 O56 O61 O66 O71 O76 O81 O86 O91 O111 O116 O121 O126 O131 O136 O141 O146 O151 O156 O166 O171 O176 O181 O186 O191 O196 O201 O206">
    <cfRule type="cellIs" dxfId="4" priority="1075" operator="lessThan">
      <formula>$AC$10</formula>
    </cfRule>
  </conditionalFormatting>
  <conditionalFormatting sqref="P161 P106 P101 P96 P11 P16 P21 P26 P31 P36 P41 P46 P51 P56 P61 P66 P71 P76 P81 P86 P91 P111 P116 P121 P126 P131 P136 P141 P146 P151 P156 P166 P171 P176 P181 P186 P191 P196 P201 P206">
    <cfRule type="cellIs" dxfId="3" priority="1074" operator="lessThan">
      <formula>$AC$11</formula>
    </cfRule>
  </conditionalFormatting>
  <conditionalFormatting sqref="Q161 Q106 Q101 Q96 Q11 Q16 Q21 Q26 Q31 Q36 Q41 Q46 Q51 Q56 Q61 Q66 Q71 Q76 Q81 Q86 Q91 Q111 Q116 Q121 Q126 Q131 Q136 Q141 Q146 Q151 Q156 Q166 Q171 Q176 Q181 Q186 Q191 Q196 Q201 Q206">
    <cfRule type="cellIs" dxfId="2" priority="1073" operator="lessThan">
      <formula>$AC$12</formula>
    </cfRule>
  </conditionalFormatting>
  <conditionalFormatting sqref="R161 R106 R101 R96 R11 R16 R21 R26 R31 R36 R41 R46 R51 R56 R61 R66 R71 R76 R81 R86 R91 R111 R116 R121 R126 R131 R136 R141 R146 R151 R156 R166 R171 R176 R181 R186 R191 R196 R201 R206">
    <cfRule type="cellIs" dxfId="1" priority="1072" operator="lessThan">
      <formula>$AC$13</formula>
    </cfRule>
  </conditionalFormatting>
  <conditionalFormatting sqref="T161 T106 T101 T96 T16 T11 T21 T26 T31 T36 T41 T46 T51 T56 T61 T66 T71 T76 T81 T86 T91 T111 T116 T121 T126 T131 T136 T141 T146 T151 T156 T166 T171 T176 T181 T186 T191 T196 T201 T206">
    <cfRule type="cellIs" dxfId="0" priority="1061" operator="lessThan">
      <formula>#REF!</formula>
    </cfRule>
  </conditionalFormatting>
  <hyperlinks>
    <hyperlink ref="X2" location="Home!A1" display="BACK HOME"/>
  </hyperlinks>
  <pageMargins left="0.70866141732283461" right="0" top="0.74803040244969377" bottom="0.55118110236220474" header="0.31496062992125984" footer="0.31496062992125984"/>
  <pageSetup paperSize="5" scale="9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65"/>
  <sheetViews>
    <sheetView topLeftCell="B16" workbookViewId="0">
      <selection activeCell="B1" sqref="B1:O61"/>
    </sheetView>
  </sheetViews>
  <sheetFormatPr defaultRowHeight="15.75" zeroHeight="1" x14ac:dyDescent="0.25"/>
  <cols>
    <col min="1" max="1" width="4" style="222" customWidth="1"/>
    <col min="2" max="2" width="5.140625" style="222" customWidth="1"/>
    <col min="3" max="3" width="33.5703125" style="222" customWidth="1"/>
    <col min="4" max="6" width="9.140625" style="222" customWidth="1"/>
    <col min="7" max="8" width="7.5703125" style="222" customWidth="1"/>
    <col min="9" max="12" width="9.140625" style="222" customWidth="1"/>
    <col min="13" max="13" width="8" style="222" customWidth="1"/>
    <col min="14" max="14" width="9.140625" style="222" customWidth="1"/>
    <col min="15" max="15" width="11.5703125" style="223" customWidth="1"/>
    <col min="16" max="29" width="9.140625" style="222" hidden="1" customWidth="1"/>
    <col min="30" max="16382" width="0" style="222" hidden="1" customWidth="1"/>
    <col min="16383" max="16384" width="9.140625" style="222" customWidth="1"/>
  </cols>
  <sheetData>
    <row r="1" spans="2:15" ht="15.75" customHeight="1" x14ac:dyDescent="0.3">
      <c r="B1" s="285" t="s">
        <v>159</v>
      </c>
      <c r="C1" s="285"/>
      <c r="D1" s="285"/>
      <c r="E1" s="285"/>
      <c r="F1" s="285"/>
      <c r="G1" s="285"/>
      <c r="H1" s="285"/>
      <c r="I1" s="285"/>
      <c r="J1" s="285"/>
      <c r="K1" s="285"/>
      <c r="L1" s="285"/>
      <c r="M1" s="285"/>
      <c r="N1" s="285"/>
      <c r="O1" s="285"/>
    </row>
    <row r="2" spans="2:15" ht="15.75" customHeight="1" x14ac:dyDescent="0.3">
      <c r="B2" s="286" t="str">
        <f>LEGER!B2</f>
        <v>SEKOLAH  DASAR NEGERI SERANG</v>
      </c>
      <c r="C2" s="286"/>
      <c r="D2" s="286"/>
      <c r="E2" s="286"/>
      <c r="F2" s="286"/>
      <c r="G2" s="286"/>
      <c r="H2" s="286"/>
      <c r="I2" s="286"/>
      <c r="J2" s="286"/>
      <c r="K2" s="286"/>
      <c r="L2" s="286"/>
      <c r="M2" s="286"/>
      <c r="N2" s="286"/>
      <c r="O2" s="286"/>
    </row>
    <row r="3" spans="2:15" ht="15" customHeight="1" x14ac:dyDescent="0.3">
      <c r="B3" s="286" t="str">
        <f>LEGER!B3</f>
        <v>TAHUN PELAJARAN    2021/2022</v>
      </c>
      <c r="C3" s="286"/>
      <c r="D3" s="286"/>
      <c r="E3" s="286"/>
      <c r="F3" s="286"/>
      <c r="G3" s="286"/>
      <c r="H3" s="286"/>
      <c r="I3" s="286"/>
      <c r="J3" s="286"/>
      <c r="K3" s="286"/>
      <c r="L3" s="286"/>
      <c r="M3" s="286"/>
      <c r="N3" s="286"/>
      <c r="O3" s="286"/>
    </row>
    <row r="4" spans="2:15" hidden="1" x14ac:dyDescent="0.25"/>
    <row r="5" spans="2:15" s="224" customFormat="1" ht="23.25" customHeight="1" x14ac:dyDescent="0.25">
      <c r="B5" s="287" t="s">
        <v>6</v>
      </c>
      <c r="C5" s="287" t="s">
        <v>0</v>
      </c>
      <c r="D5" s="288" t="s">
        <v>7</v>
      </c>
      <c r="E5" s="288"/>
      <c r="F5" s="288"/>
      <c r="G5" s="288"/>
      <c r="H5" s="288"/>
      <c r="I5" s="288"/>
      <c r="J5" s="288"/>
      <c r="K5" s="288"/>
      <c r="L5" s="288"/>
      <c r="M5" s="289" t="s">
        <v>4</v>
      </c>
      <c r="N5" s="284" t="s">
        <v>5</v>
      </c>
      <c r="O5" s="284" t="s">
        <v>94</v>
      </c>
    </row>
    <row r="6" spans="2:15" s="224" customFormat="1" ht="23.25" customHeight="1" x14ac:dyDescent="0.25">
      <c r="B6" s="287"/>
      <c r="C6" s="287"/>
      <c r="D6" s="225" t="s">
        <v>17</v>
      </c>
      <c r="E6" s="225" t="str">
        <f>IF('DATA SISWA &amp; SEK'!E61="2013","PPKN","PKN")</f>
        <v>PKN</v>
      </c>
      <c r="F6" s="225" t="s">
        <v>13</v>
      </c>
      <c r="G6" s="225" t="s">
        <v>1</v>
      </c>
      <c r="H6" s="225" t="s">
        <v>2</v>
      </c>
      <c r="I6" s="225" t="s">
        <v>3</v>
      </c>
      <c r="J6" s="225" t="str">
        <f>IF('DATA SISWA &amp; SEK'!E61="2013","SBdP","SBK")</f>
        <v>SBK</v>
      </c>
      <c r="K6" s="225" t="s">
        <v>16</v>
      </c>
      <c r="L6" s="225" t="s">
        <v>14</v>
      </c>
      <c r="M6" s="289"/>
      <c r="N6" s="284"/>
      <c r="O6" s="284"/>
    </row>
    <row r="7" spans="2:15" x14ac:dyDescent="0.25">
      <c r="B7" s="226">
        <f>IF(LEGER!B7="","",LEGER!B7)</f>
        <v>1</v>
      </c>
      <c r="C7" s="226" t="str">
        <f>IF(LEGER!G7="","",LEGER!G7)</f>
        <v>ADITYA BAGAS PRATAMA</v>
      </c>
      <c r="D7" s="226">
        <f>IF(LEGER!J11="","",LEGER!J11)</f>
        <v>82.6</v>
      </c>
      <c r="E7" s="226">
        <f>IF(LEGER!K11="","",LEGER!K11)</f>
        <v>82.4</v>
      </c>
      <c r="F7" s="226">
        <f>IF(LEGER!L11="","",LEGER!L11)</f>
        <v>80.400000000000006</v>
      </c>
      <c r="G7" s="226">
        <f>IF(LEGER!M11="","",LEGER!M11)</f>
        <v>82.2</v>
      </c>
      <c r="H7" s="226">
        <f>IF(LEGER!N11="","",LEGER!N11)</f>
        <v>81.2</v>
      </c>
      <c r="I7" s="226">
        <f>IF(LEGER!O11="","",LEGER!O11)</f>
        <v>82.6</v>
      </c>
      <c r="J7" s="226">
        <f>IF(LEGER!P11="","",LEGER!P11)</f>
        <v>81.599999999999994</v>
      </c>
      <c r="K7" s="226">
        <f>IF(LEGER!Q11="","",LEGER!Q11)</f>
        <v>86.2</v>
      </c>
      <c r="L7" s="226">
        <f>IF(LEGER!R11="","",LEGER!R11)</f>
        <v>81</v>
      </c>
      <c r="M7" s="226">
        <f>IF(LEGER!S11="","",LEGER!S11)</f>
        <v>740.2</v>
      </c>
      <c r="N7" s="227">
        <f>IF(LEGER!T11="","",LEGER!T11)</f>
        <v>82.244444444444454</v>
      </c>
      <c r="O7" s="228">
        <f>IFERROR(RANK(M7,$M$7:$M$46,0),"")</f>
        <v>15</v>
      </c>
    </row>
    <row r="8" spans="2:15" x14ac:dyDescent="0.25">
      <c r="B8" s="226">
        <f>IF(LEGER!B12="","",LEGER!B12)</f>
        <v>2</v>
      </c>
      <c r="C8" s="226" t="str">
        <f>IF(LEGER!G12="","",LEGER!G12)</f>
        <v>ADZRA NURY KHALISA</v>
      </c>
      <c r="D8" s="226">
        <f>IF(LEGER!J16="","",LEGER!J16)</f>
        <v>86.4</v>
      </c>
      <c r="E8" s="226">
        <f>IF(LEGER!K16="","",LEGER!K16)</f>
        <v>88.4</v>
      </c>
      <c r="F8" s="226">
        <f>IF(LEGER!L16="","",LEGER!L16)</f>
        <v>96.6</v>
      </c>
      <c r="G8" s="226">
        <f>IF(LEGER!M16="","",LEGER!M16)</f>
        <v>88.4</v>
      </c>
      <c r="H8" s="226">
        <f>IF(LEGER!N16="","",LEGER!N16)</f>
        <v>82</v>
      </c>
      <c r="I8" s="226">
        <f>IF(LEGER!O16="","",LEGER!O16)</f>
        <v>90.8</v>
      </c>
      <c r="J8" s="226">
        <f>IF(LEGER!P16="","",LEGER!P16)</f>
        <v>86.2</v>
      </c>
      <c r="K8" s="226">
        <f>IF(LEGER!Q16="","",LEGER!Q16)</f>
        <v>90.2</v>
      </c>
      <c r="L8" s="226">
        <f>IF(LEGER!R16="","",LEGER!R16)</f>
        <v>91.6</v>
      </c>
      <c r="M8" s="226">
        <f>IF(LEGER!S16="","",LEGER!S16)</f>
        <v>800.6</v>
      </c>
      <c r="N8" s="227">
        <f>IF(LEGER!T16="","",LEGER!T16)</f>
        <v>88.955555555555563</v>
      </c>
      <c r="O8" s="228">
        <f t="shared" ref="O8:O46" si="0">IFERROR(RANK(M8,$M$7:$M$46,0),"")</f>
        <v>6</v>
      </c>
    </row>
    <row r="9" spans="2:15" x14ac:dyDescent="0.25">
      <c r="B9" s="226">
        <f>IF(LEGER!B17="","",LEGER!B17)</f>
        <v>3</v>
      </c>
      <c r="C9" s="226" t="str">
        <f>IF(LEGER!G17="","",LEGER!G17)</f>
        <v>AISYAH NUR RAMADHANI</v>
      </c>
      <c r="D9" s="226">
        <f>IF(LEGER!J21="","",LEGER!J21)</f>
        <v>93.2</v>
      </c>
      <c r="E9" s="226">
        <f>IF(LEGER!K21="","",LEGER!K21)</f>
        <v>93.8</v>
      </c>
      <c r="F9" s="226">
        <f>IF(LEGER!L21="","",LEGER!L21)</f>
        <v>92.6</v>
      </c>
      <c r="G9" s="226">
        <f>IF(LEGER!M21="","",LEGER!M21)</f>
        <v>89.6</v>
      </c>
      <c r="H9" s="226">
        <f>IF(LEGER!N21="","",LEGER!N21)</f>
        <v>91.2</v>
      </c>
      <c r="I9" s="226">
        <f>IF(LEGER!O21="","",LEGER!O21)</f>
        <v>90</v>
      </c>
      <c r="J9" s="226">
        <f>IF(LEGER!P21="","",LEGER!P21)</f>
        <v>91.6</v>
      </c>
      <c r="K9" s="226">
        <f>IF(LEGER!Q21="","",LEGER!Q21)</f>
        <v>88.4</v>
      </c>
      <c r="L9" s="226">
        <f>IF(LEGER!R21="","",LEGER!R21)</f>
        <v>88.6</v>
      </c>
      <c r="M9" s="226">
        <f>IF(LEGER!S21="","",LEGER!S21)</f>
        <v>819.00000000000011</v>
      </c>
      <c r="N9" s="227">
        <f>IF(LEGER!T21="","",LEGER!T21)</f>
        <v>91.000000000000014</v>
      </c>
      <c r="O9" s="228">
        <f t="shared" si="0"/>
        <v>3</v>
      </c>
    </row>
    <row r="10" spans="2:15" x14ac:dyDescent="0.25">
      <c r="B10" s="226">
        <f>IF(LEGER!B22="","",LEGER!B22)</f>
        <v>4</v>
      </c>
      <c r="C10" s="226" t="str">
        <f>IF(LEGER!G22="","",LEGER!G22)</f>
        <v>ALIFYA ALIA LATIFA</v>
      </c>
      <c r="D10" s="226">
        <f>IF(LEGER!J26="","",LEGER!J26)</f>
        <v>87.4</v>
      </c>
      <c r="E10" s="226">
        <f>IF(LEGER!K26="","",LEGER!K26)</f>
        <v>92.8</v>
      </c>
      <c r="F10" s="226">
        <f>IF(LEGER!L26="","",LEGER!L26)</f>
        <v>95.2</v>
      </c>
      <c r="G10" s="226">
        <f>IF(LEGER!M26="","",LEGER!M26)</f>
        <v>97.6</v>
      </c>
      <c r="H10" s="226">
        <f>IF(LEGER!N26="","",LEGER!N26)</f>
        <v>94</v>
      </c>
      <c r="I10" s="226">
        <f>IF(LEGER!O26="","",LEGER!O26)</f>
        <v>91.8</v>
      </c>
      <c r="J10" s="226">
        <f>IF(LEGER!P26="","",LEGER!P26)</f>
        <v>86.8</v>
      </c>
      <c r="K10" s="226">
        <f>IF(LEGER!Q26="","",LEGER!Q26)</f>
        <v>89.2</v>
      </c>
      <c r="L10" s="226">
        <f>IF(LEGER!R26="","",LEGER!R26)</f>
        <v>90.6</v>
      </c>
      <c r="M10" s="226">
        <f>IF(LEGER!S26="","",LEGER!S26)</f>
        <v>825.4</v>
      </c>
      <c r="N10" s="227">
        <f>IF(LEGER!T26="","",LEGER!T26)</f>
        <v>91.711111111111109</v>
      </c>
      <c r="O10" s="228">
        <f t="shared" si="0"/>
        <v>2</v>
      </c>
    </row>
    <row r="11" spans="2:15" x14ac:dyDescent="0.25">
      <c r="B11" s="226">
        <f>IF(LEGER!B27="","",LEGER!B27)</f>
        <v>5</v>
      </c>
      <c r="C11" s="226" t="str">
        <f>IF(LEGER!G27="","",LEGER!G27)</f>
        <v>ARUM ENDAH PERMATA SARI</v>
      </c>
      <c r="D11" s="226">
        <f>IF(LEGER!J31="","",LEGER!J31)</f>
        <v>87.4</v>
      </c>
      <c r="E11" s="226">
        <f>IF(LEGER!K31="","",LEGER!K31)</f>
        <v>88.2</v>
      </c>
      <c r="F11" s="226">
        <f>IF(LEGER!L31="","",LEGER!L31)</f>
        <v>90.4</v>
      </c>
      <c r="G11" s="226">
        <f>IF(LEGER!M31="","",LEGER!M31)</f>
        <v>82.8</v>
      </c>
      <c r="H11" s="226">
        <f>IF(LEGER!N31="","",LEGER!N31)</f>
        <v>92.2</v>
      </c>
      <c r="I11" s="226">
        <f>IF(LEGER!O31="","",LEGER!O31)</f>
        <v>92.6</v>
      </c>
      <c r="J11" s="226">
        <f>IF(LEGER!P31="","",LEGER!P31)</f>
        <v>85.8</v>
      </c>
      <c r="K11" s="226">
        <f>IF(LEGER!Q31="","",LEGER!Q31)</f>
        <v>91.6</v>
      </c>
      <c r="L11" s="226">
        <f>IF(LEGER!R31="","",LEGER!R31)</f>
        <v>84.8</v>
      </c>
      <c r="M11" s="226">
        <f>IF(LEGER!S31="","",LEGER!S31)</f>
        <v>795.8</v>
      </c>
      <c r="N11" s="227">
        <f>IF(LEGER!T31="","",LEGER!T31)</f>
        <v>88.422222222222217</v>
      </c>
      <c r="O11" s="228">
        <f t="shared" si="0"/>
        <v>7</v>
      </c>
    </row>
    <row r="12" spans="2:15" x14ac:dyDescent="0.25">
      <c r="B12" s="226">
        <f>IF(LEGER!B32="","",LEGER!B32)</f>
        <v>6</v>
      </c>
      <c r="C12" s="226" t="str">
        <f>IF(LEGER!G32="","",LEGER!G32)</f>
        <v>BERLIANA SUCI RAMADHANI</v>
      </c>
      <c r="D12" s="226">
        <f>IF(LEGER!J36="","",LEGER!J36)</f>
        <v>91.4</v>
      </c>
      <c r="E12" s="226">
        <f>IF(LEGER!K36="","",LEGER!K36)</f>
        <v>96.4</v>
      </c>
      <c r="F12" s="226">
        <f>IF(LEGER!L36="","",LEGER!L36)</f>
        <v>96.2</v>
      </c>
      <c r="G12" s="226">
        <f>IF(LEGER!M36="","",LEGER!M36)</f>
        <v>94.4</v>
      </c>
      <c r="H12" s="226">
        <f>IF(LEGER!N36="","",LEGER!N36)</f>
        <v>89.2</v>
      </c>
      <c r="I12" s="226">
        <f>IF(LEGER!O36="","",LEGER!O36)</f>
        <v>95.4</v>
      </c>
      <c r="J12" s="226">
        <f>IF(LEGER!P36="","",LEGER!P36)</f>
        <v>87</v>
      </c>
      <c r="K12" s="226">
        <f>IF(LEGER!Q36="","",LEGER!Q36)</f>
        <v>89.2</v>
      </c>
      <c r="L12" s="226">
        <f>IF(LEGER!R36="","",LEGER!R36)</f>
        <v>90.6</v>
      </c>
      <c r="M12" s="226">
        <f>IF(LEGER!S36="","",LEGER!S36)</f>
        <v>829.80000000000007</v>
      </c>
      <c r="N12" s="227">
        <f>IF(LEGER!T36="","",LEGER!T36)</f>
        <v>92.2</v>
      </c>
      <c r="O12" s="228">
        <f t="shared" si="0"/>
        <v>1</v>
      </c>
    </row>
    <row r="13" spans="2:15" x14ac:dyDescent="0.25">
      <c r="B13" s="226">
        <f>IF(LEGER!B37="","",LEGER!B37)</f>
        <v>7</v>
      </c>
      <c r="C13" s="226" t="str">
        <f>IF(LEGER!G37="","",LEGER!G37)</f>
        <v>DIKY SAPUTRO</v>
      </c>
      <c r="D13" s="226">
        <f>IF(LEGER!J41="","",LEGER!J41)</f>
        <v>94.2</v>
      </c>
      <c r="E13" s="226">
        <f>IF(LEGER!K41="","",LEGER!K41)</f>
        <v>92.8</v>
      </c>
      <c r="F13" s="226">
        <f>IF(LEGER!L41="","",LEGER!L41)</f>
        <v>94.8</v>
      </c>
      <c r="G13" s="226">
        <f>IF(LEGER!M41="","",LEGER!M41)</f>
        <v>84.6</v>
      </c>
      <c r="H13" s="226">
        <f>IF(LEGER!N41="","",LEGER!N41)</f>
        <v>90</v>
      </c>
      <c r="I13" s="226">
        <f>IF(LEGER!O41="","",LEGER!O41)</f>
        <v>92.6</v>
      </c>
      <c r="J13" s="226">
        <f>IF(LEGER!P41="","",LEGER!P41)</f>
        <v>83.6</v>
      </c>
      <c r="K13" s="226">
        <f>IF(LEGER!Q41="","",LEGER!Q41)</f>
        <v>87.8</v>
      </c>
      <c r="L13" s="226">
        <f>IF(LEGER!R41="","",LEGER!R41)</f>
        <v>87.4</v>
      </c>
      <c r="M13" s="226">
        <f>IF(LEGER!S41="","",LEGER!S41)</f>
        <v>807.8</v>
      </c>
      <c r="N13" s="227">
        <f>IF(LEGER!T41="","",LEGER!T41)</f>
        <v>89.755555555555546</v>
      </c>
      <c r="O13" s="228">
        <f t="shared" si="0"/>
        <v>5</v>
      </c>
    </row>
    <row r="14" spans="2:15" x14ac:dyDescent="0.25">
      <c r="B14" s="226">
        <f>IF(LEGER!B42="","",LEGER!B42)</f>
        <v>8</v>
      </c>
      <c r="C14" s="226" t="str">
        <f>IF(LEGER!G42="","",LEGER!G42)</f>
        <v>FADIL ADHA SAPUTRA</v>
      </c>
      <c r="D14" s="226">
        <f>IF(LEGER!J46="","",LEGER!J46)</f>
        <v>86.6</v>
      </c>
      <c r="E14" s="226">
        <f>IF(LEGER!K46="","",LEGER!K46)</f>
        <v>83.8</v>
      </c>
      <c r="F14" s="226">
        <f>IF(LEGER!L46="","",LEGER!L46)</f>
        <v>83.4</v>
      </c>
      <c r="G14" s="226">
        <f>IF(LEGER!M46="","",LEGER!M46)</f>
        <v>86.4</v>
      </c>
      <c r="H14" s="226">
        <f>IF(LEGER!N46="","",LEGER!N46)</f>
        <v>85.2</v>
      </c>
      <c r="I14" s="226">
        <f>IF(LEGER!O46="","",LEGER!O46)</f>
        <v>85</v>
      </c>
      <c r="J14" s="226">
        <f>IF(LEGER!P46="","",LEGER!P46)</f>
        <v>86.8</v>
      </c>
      <c r="K14" s="226">
        <f>IF(LEGER!Q46="","",LEGER!Q46)</f>
        <v>88.6</v>
      </c>
      <c r="L14" s="226">
        <f>IF(LEGER!R46="","",LEGER!R46)</f>
        <v>84.8</v>
      </c>
      <c r="M14" s="226">
        <f>IF(LEGER!S46="","",LEGER!S46)</f>
        <v>770.59999999999991</v>
      </c>
      <c r="N14" s="227">
        <f>IF(LEGER!T46="","",LEGER!T46)</f>
        <v>85.622222222222206</v>
      </c>
      <c r="O14" s="228">
        <f t="shared" si="0"/>
        <v>9</v>
      </c>
    </row>
    <row r="15" spans="2:15" x14ac:dyDescent="0.25">
      <c r="B15" s="226">
        <f>IF(LEGER!B47="","",LEGER!B47)</f>
        <v>9</v>
      </c>
      <c r="C15" s="226" t="str">
        <f>IF(LEGER!G47="","",LEGER!G47)</f>
        <v>FAIRUL RADITYA LUKMANSYAH</v>
      </c>
      <c r="D15" s="226">
        <f>IF(LEGER!J51="","",LEGER!J51)</f>
        <v>84.4</v>
      </c>
      <c r="E15" s="226">
        <f>IF(LEGER!K51="","",LEGER!K51)</f>
        <v>85.2</v>
      </c>
      <c r="F15" s="226">
        <f>IF(LEGER!L51="","",LEGER!L51)</f>
        <v>93.8</v>
      </c>
      <c r="G15" s="226">
        <f>IF(LEGER!M51="","",LEGER!M51)</f>
        <v>81</v>
      </c>
      <c r="H15" s="226">
        <f>IF(LEGER!N51="","",LEGER!N51)</f>
        <v>83.4</v>
      </c>
      <c r="I15" s="226">
        <f>IF(LEGER!O51="","",LEGER!O51)</f>
        <v>84</v>
      </c>
      <c r="J15" s="226">
        <f>IF(LEGER!P51="","",LEGER!P51)</f>
        <v>83.4</v>
      </c>
      <c r="K15" s="226">
        <f>IF(LEGER!Q51="","",LEGER!Q51)</f>
        <v>85.6</v>
      </c>
      <c r="L15" s="226">
        <f>IF(LEGER!R51="","",LEGER!R51)</f>
        <v>88.4</v>
      </c>
      <c r="M15" s="226">
        <f>IF(LEGER!S51="","",LEGER!S51)</f>
        <v>769.2</v>
      </c>
      <c r="N15" s="227">
        <f>IF(LEGER!T51="","",LEGER!T51)</f>
        <v>85.466666666666669</v>
      </c>
      <c r="O15" s="228">
        <f t="shared" si="0"/>
        <v>10</v>
      </c>
    </row>
    <row r="16" spans="2:15" x14ac:dyDescent="0.25">
      <c r="B16" s="226">
        <f>IF(LEGER!B52="","",LEGER!B52)</f>
        <v>10</v>
      </c>
      <c r="C16" s="226" t="str">
        <f>IF(LEGER!G52="","",LEGER!G52)</f>
        <v>FAJAR RIAN ASMORO</v>
      </c>
      <c r="D16" s="226">
        <f>IF(LEGER!J56="","",LEGER!J56)</f>
        <v>84</v>
      </c>
      <c r="E16" s="226">
        <f>IF(LEGER!K56="","",LEGER!K56)</f>
        <v>80.599999999999994</v>
      </c>
      <c r="F16" s="226">
        <f>IF(LEGER!L56="","",LEGER!L56)</f>
        <v>85.4</v>
      </c>
      <c r="G16" s="226">
        <f>IF(LEGER!M56="","",LEGER!M56)</f>
        <v>80.599999999999994</v>
      </c>
      <c r="H16" s="226">
        <f>IF(LEGER!N56="","",LEGER!N56)</f>
        <v>85</v>
      </c>
      <c r="I16" s="226">
        <f>IF(LEGER!O56="","",LEGER!O56)</f>
        <v>83.4</v>
      </c>
      <c r="J16" s="226">
        <f>IF(LEGER!P56="","",LEGER!P56)</f>
        <v>82.6</v>
      </c>
      <c r="K16" s="226">
        <f>IF(LEGER!Q56="","",LEGER!Q56)</f>
        <v>87.8</v>
      </c>
      <c r="L16" s="226">
        <f>IF(LEGER!R56="","",LEGER!R56)</f>
        <v>86.6</v>
      </c>
      <c r="M16" s="226">
        <f>IF(LEGER!S56="","",LEGER!S56)</f>
        <v>756</v>
      </c>
      <c r="N16" s="227">
        <f>IF(LEGER!T56="","",LEGER!T56)</f>
        <v>84</v>
      </c>
      <c r="O16" s="228">
        <f t="shared" si="0"/>
        <v>13</v>
      </c>
    </row>
    <row r="17" spans="2:15" x14ac:dyDescent="0.25">
      <c r="B17" s="226">
        <f>IF(LEGER!B57="","",LEGER!B57)</f>
        <v>11</v>
      </c>
      <c r="C17" s="226" t="str">
        <f>IF(LEGER!G57="","",LEGER!G57)</f>
        <v>NAJWA CHEIYLA YOSIANA FAIZAH ZAHRA</v>
      </c>
      <c r="D17" s="226">
        <f>IF(LEGER!J61="","",LEGER!J61)</f>
        <v>86</v>
      </c>
      <c r="E17" s="226">
        <f>IF(LEGER!K61="","",LEGER!K61)</f>
        <v>84.2</v>
      </c>
      <c r="F17" s="226">
        <f>IF(LEGER!L61="","",LEGER!L61)</f>
        <v>87.6</v>
      </c>
      <c r="G17" s="226">
        <f>IF(LEGER!M61="","",LEGER!M61)</f>
        <v>81</v>
      </c>
      <c r="H17" s="226">
        <f>IF(LEGER!N61="","",LEGER!N61)</f>
        <v>80.8</v>
      </c>
      <c r="I17" s="226">
        <f>IF(LEGER!O61="","",LEGER!O61)</f>
        <v>91.6</v>
      </c>
      <c r="J17" s="226">
        <f>IF(LEGER!P61="","",LEGER!P61)</f>
        <v>85.6</v>
      </c>
      <c r="K17" s="226">
        <f>IF(LEGER!Q61="","",LEGER!Q61)</f>
        <v>86.8</v>
      </c>
      <c r="L17" s="226">
        <f>IF(LEGER!R61="","",LEGER!R61)</f>
        <v>81.8</v>
      </c>
      <c r="M17" s="226">
        <f>IF(LEGER!S61="","",LEGER!S61)</f>
        <v>765.39999999999986</v>
      </c>
      <c r="N17" s="227">
        <f>IF(LEGER!T61="","",LEGER!T61)</f>
        <v>85.044444444444423</v>
      </c>
      <c r="O17" s="228">
        <f t="shared" si="0"/>
        <v>12</v>
      </c>
    </row>
    <row r="18" spans="2:15" x14ac:dyDescent="0.25">
      <c r="B18" s="226">
        <f>IF(LEGER!B62="","",LEGER!B62)</f>
        <v>12</v>
      </c>
      <c r="C18" s="226" t="str">
        <f>IF(LEGER!G62="","",LEGER!G62)</f>
        <v>NAJWAN HAFIZH PRATAMA</v>
      </c>
      <c r="D18" s="226">
        <f>IF(LEGER!J66="","",LEGER!J66)</f>
        <v>81.8</v>
      </c>
      <c r="E18" s="226">
        <f>IF(LEGER!K66="","",LEGER!K66)</f>
        <v>79.599999999999994</v>
      </c>
      <c r="F18" s="226">
        <f>IF(LEGER!L66="","",LEGER!L66)</f>
        <v>81.8</v>
      </c>
      <c r="G18" s="226">
        <f>IF(LEGER!M66="","",LEGER!M66)</f>
        <v>85</v>
      </c>
      <c r="H18" s="226">
        <f>IF(LEGER!N66="","",LEGER!N66)</f>
        <v>79.599999999999994</v>
      </c>
      <c r="I18" s="226">
        <f>IF(LEGER!O66="","",LEGER!O66)</f>
        <v>79.400000000000006</v>
      </c>
      <c r="J18" s="226">
        <f>IF(LEGER!P66="","",LEGER!P66)</f>
        <v>83.6</v>
      </c>
      <c r="K18" s="226">
        <f>IF(LEGER!Q66="","",LEGER!Q66)</f>
        <v>89.2</v>
      </c>
      <c r="L18" s="226">
        <f>IF(LEGER!R66="","",LEGER!R66)</f>
        <v>82.2</v>
      </c>
      <c r="M18" s="226">
        <f>IF(LEGER!S66="","",LEGER!S66)</f>
        <v>742.2</v>
      </c>
      <c r="N18" s="227">
        <f>IF(LEGER!T66="","",LEGER!T66)</f>
        <v>82.466666666666669</v>
      </c>
      <c r="O18" s="228">
        <f t="shared" si="0"/>
        <v>14</v>
      </c>
    </row>
    <row r="19" spans="2:15" x14ac:dyDescent="0.25">
      <c r="B19" s="226">
        <f>IF(LEGER!B67="","",LEGER!B67)</f>
        <v>13</v>
      </c>
      <c r="C19" s="226" t="str">
        <f>IF(LEGER!G67="","",LEGER!G67)</f>
        <v>NIKEN PUSPITA SARI</v>
      </c>
      <c r="D19" s="226">
        <f>IF(LEGER!J71="","",LEGER!J71)</f>
        <v>85.2</v>
      </c>
      <c r="E19" s="226">
        <f>IF(LEGER!K71="","",LEGER!K71)</f>
        <v>89</v>
      </c>
      <c r="F19" s="226">
        <f>IF(LEGER!L71="","",LEGER!L71)</f>
        <v>92.4</v>
      </c>
      <c r="G19" s="226">
        <f>IF(LEGER!M71="","",LEGER!M71)</f>
        <v>84.2</v>
      </c>
      <c r="H19" s="226">
        <f>IF(LEGER!N71="","",LEGER!N71)</f>
        <v>80.400000000000006</v>
      </c>
      <c r="I19" s="226">
        <f>IF(LEGER!O71="","",LEGER!O71)</f>
        <v>90.2</v>
      </c>
      <c r="J19" s="226">
        <f>IF(LEGER!P71="","",LEGER!P71)</f>
        <v>85</v>
      </c>
      <c r="K19" s="226">
        <f>IF(LEGER!Q71="","",LEGER!Q71)</f>
        <v>88</v>
      </c>
      <c r="L19" s="226">
        <f>IF(LEGER!R71="","",LEGER!R71)</f>
        <v>88.2</v>
      </c>
      <c r="M19" s="226">
        <f>IF(LEGER!S71="","",LEGER!S71)</f>
        <v>782.60000000000014</v>
      </c>
      <c r="N19" s="227">
        <f>IF(LEGER!T71="","",LEGER!T71)</f>
        <v>86.955555555555577</v>
      </c>
      <c r="O19" s="228">
        <f t="shared" si="0"/>
        <v>8</v>
      </c>
    </row>
    <row r="20" spans="2:15" x14ac:dyDescent="0.25">
      <c r="B20" s="226">
        <f>IF(LEGER!B72="","",LEGER!B72)</f>
        <v>14</v>
      </c>
      <c r="C20" s="226" t="str">
        <f>IF(LEGER!G72="","",LEGER!G72)</f>
        <v>PUPUT PUJI LESTARI</v>
      </c>
      <c r="D20" s="226">
        <f>IF(LEGER!J76="","",LEGER!J76)</f>
        <v>83.6</v>
      </c>
      <c r="E20" s="226">
        <f>IF(LEGER!K76="","",LEGER!K76)</f>
        <v>80</v>
      </c>
      <c r="F20" s="226">
        <f>IF(LEGER!L76="","",LEGER!L76)</f>
        <v>80.2</v>
      </c>
      <c r="G20" s="226">
        <f>IF(LEGER!M76="","",LEGER!M76)</f>
        <v>80.2</v>
      </c>
      <c r="H20" s="226">
        <f>IF(LEGER!N76="","",LEGER!N76)</f>
        <v>82</v>
      </c>
      <c r="I20" s="226">
        <f>IF(LEGER!O76="","",LEGER!O76)</f>
        <v>81.8</v>
      </c>
      <c r="J20" s="226">
        <f>IF(LEGER!P76="","",LEGER!P76)</f>
        <v>81.8</v>
      </c>
      <c r="K20" s="226">
        <f>IF(LEGER!Q76="","",LEGER!Q76)</f>
        <v>89</v>
      </c>
      <c r="L20" s="226">
        <f>IF(LEGER!R76="","",LEGER!R76)</f>
        <v>80.599999999999994</v>
      </c>
      <c r="M20" s="226">
        <f>IF(LEGER!S76="","",LEGER!S76)</f>
        <v>739.2</v>
      </c>
      <c r="N20" s="227">
        <f>IF(LEGER!T76="","",LEGER!T76)</f>
        <v>82.13333333333334</v>
      </c>
      <c r="O20" s="228">
        <f t="shared" si="0"/>
        <v>18</v>
      </c>
    </row>
    <row r="21" spans="2:15" x14ac:dyDescent="0.25">
      <c r="B21" s="226">
        <f>IF(LEGER!B77="","",LEGER!B77)</f>
        <v>15</v>
      </c>
      <c r="C21" s="226" t="str">
        <f>IF(LEGER!G77="","",LEGER!G77)</f>
        <v>RAMADANI</v>
      </c>
      <c r="D21" s="226">
        <f>IF(LEGER!J81="","",LEGER!J81)</f>
        <v>80.400000000000006</v>
      </c>
      <c r="E21" s="226">
        <f>IF(LEGER!K81="","",LEGER!K81)</f>
        <v>80.2</v>
      </c>
      <c r="F21" s="226">
        <f>IF(LEGER!L81="","",LEGER!L81)</f>
        <v>81.8</v>
      </c>
      <c r="G21" s="226">
        <f>IF(LEGER!M81="","",LEGER!M81)</f>
        <v>80.2</v>
      </c>
      <c r="H21" s="226">
        <f>IF(LEGER!N81="","",LEGER!N81)</f>
        <v>82</v>
      </c>
      <c r="I21" s="226">
        <f>IF(LEGER!O81="","",LEGER!O81)</f>
        <v>80</v>
      </c>
      <c r="J21" s="226">
        <f>IF(LEGER!P81="","",LEGER!P81)</f>
        <v>83</v>
      </c>
      <c r="K21" s="226">
        <f>IF(LEGER!Q81="","",LEGER!Q81)</f>
        <v>89.2</v>
      </c>
      <c r="L21" s="226">
        <f>IF(LEGER!R81="","",LEGER!R81)</f>
        <v>80.400000000000006</v>
      </c>
      <c r="M21" s="226">
        <f>IF(LEGER!S81="","",LEGER!S81)</f>
        <v>737.2</v>
      </c>
      <c r="N21" s="227">
        <f>IF(LEGER!T81="","",LEGER!T81)</f>
        <v>81.911111111111111</v>
      </c>
      <c r="O21" s="228">
        <f t="shared" si="0"/>
        <v>19</v>
      </c>
    </row>
    <row r="22" spans="2:15" x14ac:dyDescent="0.25">
      <c r="B22" s="226">
        <f>IF(LEGER!B82="","",LEGER!B82)</f>
        <v>16</v>
      </c>
      <c r="C22" s="226" t="str">
        <f>IF(LEGER!G82="","",LEGER!G82)</f>
        <v>RATRI PUSPITASARI</v>
      </c>
      <c r="D22" s="226">
        <f>IF(LEGER!J86="","",LEGER!J86)</f>
        <v>82</v>
      </c>
      <c r="E22" s="226">
        <f>IF(LEGER!K86="","",LEGER!K86)</f>
        <v>82.8</v>
      </c>
      <c r="F22" s="226">
        <f>IF(LEGER!L86="","",LEGER!L86)</f>
        <v>90.6</v>
      </c>
      <c r="G22" s="226">
        <f>IF(LEGER!M86="","",LEGER!M86)</f>
        <v>84.6</v>
      </c>
      <c r="H22" s="226">
        <f>IF(LEGER!N86="","",LEGER!N86)</f>
        <v>81.400000000000006</v>
      </c>
      <c r="I22" s="226">
        <f>IF(LEGER!O86="","",LEGER!O86)</f>
        <v>88.4</v>
      </c>
      <c r="J22" s="226">
        <f>IF(LEGER!P86="","",LEGER!P86)</f>
        <v>83.2</v>
      </c>
      <c r="K22" s="226">
        <f>IF(LEGER!Q86="","",LEGER!Q86)</f>
        <v>89</v>
      </c>
      <c r="L22" s="226">
        <f>IF(LEGER!R86="","",LEGER!R86)</f>
        <v>83.4</v>
      </c>
      <c r="M22" s="226">
        <f>IF(LEGER!S86="","",LEGER!S86)</f>
        <v>765.4</v>
      </c>
      <c r="N22" s="227">
        <f>IF(LEGER!T86="","",LEGER!T86)</f>
        <v>85.044444444444437</v>
      </c>
      <c r="O22" s="228">
        <f t="shared" si="0"/>
        <v>11</v>
      </c>
    </row>
    <row r="23" spans="2:15" x14ac:dyDescent="0.25">
      <c r="B23" s="226">
        <f>IF(LEGER!B87="","",LEGER!B87)</f>
        <v>17</v>
      </c>
      <c r="C23" s="226" t="str">
        <f>IF(LEGER!G87="","",LEGER!G87)</f>
        <v>RIZQI INDRI LESTARI</v>
      </c>
      <c r="D23" s="226">
        <f>IF(LEGER!J91="","",LEGER!J91)</f>
        <v>86.2</v>
      </c>
      <c r="E23" s="226">
        <f>IF(LEGER!K91="","",LEGER!K91)</f>
        <v>88.4</v>
      </c>
      <c r="F23" s="226">
        <f>IF(LEGER!L91="","",LEGER!L91)</f>
        <v>96</v>
      </c>
      <c r="G23" s="226">
        <f>IF(LEGER!M91="","",LEGER!M91)</f>
        <v>85.6</v>
      </c>
      <c r="H23" s="226">
        <f>IF(LEGER!N91="","",LEGER!N91)</f>
        <v>92</v>
      </c>
      <c r="I23" s="226">
        <f>IF(LEGER!O91="","",LEGER!O91)</f>
        <v>90.6</v>
      </c>
      <c r="J23" s="226">
        <f>IF(LEGER!P91="","",LEGER!P91)</f>
        <v>85.6</v>
      </c>
      <c r="K23" s="226">
        <f>IF(LEGER!Q91="","",LEGER!Q91)</f>
        <v>92.6</v>
      </c>
      <c r="L23" s="226">
        <f>IF(LEGER!R91="","",LEGER!R91)</f>
        <v>91.4</v>
      </c>
      <c r="M23" s="226">
        <f>IF(LEGER!S91="","",LEGER!S91)</f>
        <v>808.40000000000009</v>
      </c>
      <c r="N23" s="227">
        <f>IF(LEGER!T91="","",LEGER!T91)</f>
        <v>89.822222222222237</v>
      </c>
      <c r="O23" s="228">
        <f t="shared" si="0"/>
        <v>4</v>
      </c>
    </row>
    <row r="24" spans="2:15" x14ac:dyDescent="0.25">
      <c r="B24" s="226">
        <f>IF(LEGER!B92="","",LEGER!B92)</f>
        <v>18</v>
      </c>
      <c r="C24" s="226" t="str">
        <f>IF(LEGER!G92="","",LEGER!G92)</f>
        <v>SALSABILA KEYSHA ARAHMAN</v>
      </c>
      <c r="D24" s="226">
        <f>IF(LEGER!J96="","",LEGER!J96)</f>
        <v>81.2</v>
      </c>
      <c r="E24" s="226">
        <f>IF(LEGER!K96="","",LEGER!K96)</f>
        <v>80</v>
      </c>
      <c r="F24" s="226">
        <f>IF(LEGER!L96="","",LEGER!L96)</f>
        <v>80.400000000000006</v>
      </c>
      <c r="G24" s="226">
        <f>IF(LEGER!M96="","",LEGER!M96)</f>
        <v>81.2</v>
      </c>
      <c r="H24" s="226">
        <f>IF(LEGER!N96="","",LEGER!N96)</f>
        <v>80.400000000000006</v>
      </c>
      <c r="I24" s="226">
        <f>IF(LEGER!O96="","",LEGER!O96)</f>
        <v>80.400000000000006</v>
      </c>
      <c r="J24" s="226">
        <f>IF(LEGER!P96="","",LEGER!P96)</f>
        <v>82.6</v>
      </c>
      <c r="K24" s="226">
        <f>IF(LEGER!Q96="","",LEGER!Q96)</f>
        <v>86.8</v>
      </c>
      <c r="L24" s="226">
        <f>IF(LEGER!R96="","",LEGER!R96)</f>
        <v>81</v>
      </c>
      <c r="M24" s="226">
        <f>IF(LEGER!S96="","",LEGER!S96)</f>
        <v>734</v>
      </c>
      <c r="N24" s="227">
        <f>IF(LEGER!T96="","",LEGER!T96)</f>
        <v>81.555555555555557</v>
      </c>
      <c r="O24" s="228">
        <f t="shared" si="0"/>
        <v>20</v>
      </c>
    </row>
    <row r="25" spans="2:15" x14ac:dyDescent="0.25">
      <c r="B25" s="226">
        <f>IF(LEGER!B97="","",LEGER!B97)</f>
        <v>19</v>
      </c>
      <c r="C25" s="226" t="str">
        <f>IF(LEGER!G97="","",LEGER!G97)</f>
        <v>SUI ARDIYANI</v>
      </c>
      <c r="D25" s="226">
        <f>IF(LEGER!J101="","",LEGER!J101)</f>
        <v>81</v>
      </c>
      <c r="E25" s="226">
        <f>IF(LEGER!K101="","",LEGER!K101)</f>
        <v>80</v>
      </c>
      <c r="F25" s="226">
        <f>IF(LEGER!L101="","",LEGER!L101)</f>
        <v>80.2</v>
      </c>
      <c r="G25" s="226">
        <f>IF(LEGER!M101="","",LEGER!M101)</f>
        <v>82.8</v>
      </c>
      <c r="H25" s="226">
        <f>IF(LEGER!N101="","",LEGER!N101)</f>
        <v>80.599999999999994</v>
      </c>
      <c r="I25" s="226">
        <f>IF(LEGER!O101="","",LEGER!O101)</f>
        <v>82</v>
      </c>
      <c r="J25" s="226">
        <f>IF(LEGER!P101="","",LEGER!P101)</f>
        <v>83.8</v>
      </c>
      <c r="K25" s="226">
        <f>IF(LEGER!Q101="","",LEGER!Q101)</f>
        <v>88</v>
      </c>
      <c r="L25" s="226">
        <f>IF(LEGER!R101="","",LEGER!R101)</f>
        <v>81.400000000000006</v>
      </c>
      <c r="M25" s="226">
        <f>IF(LEGER!S101="","",LEGER!S101)</f>
        <v>739.8</v>
      </c>
      <c r="N25" s="227">
        <f>IF(LEGER!T101="","",LEGER!T101)</f>
        <v>82.199999999999989</v>
      </c>
      <c r="O25" s="228">
        <f t="shared" si="0"/>
        <v>17</v>
      </c>
    </row>
    <row r="26" spans="2:15" ht="15" customHeight="1" x14ac:dyDescent="0.25">
      <c r="B26" s="226">
        <f>IF(LEGER!B102="","",LEGER!B102)</f>
        <v>20</v>
      </c>
      <c r="C26" s="226" t="str">
        <f>IF(LEGER!G102="","",LEGER!G102)</f>
        <v>SYAFIK PUTRA MUBAROK</v>
      </c>
      <c r="D26" s="226">
        <f>IF(LEGER!J106="","",LEGER!J106)</f>
        <v>80.2</v>
      </c>
      <c r="E26" s="226">
        <f>IF(LEGER!K106="","",LEGER!K106)</f>
        <v>82.2</v>
      </c>
      <c r="F26" s="226">
        <f>IF(LEGER!L106="","",LEGER!L106)</f>
        <v>80.400000000000006</v>
      </c>
      <c r="G26" s="226">
        <f>IF(LEGER!M106="","",LEGER!M106)</f>
        <v>81.400000000000006</v>
      </c>
      <c r="H26" s="226">
        <f>IF(LEGER!N106="","",LEGER!N106)</f>
        <v>81.8</v>
      </c>
      <c r="I26" s="226">
        <f>IF(LEGER!O106="","",LEGER!O106)</f>
        <v>82</v>
      </c>
      <c r="J26" s="226">
        <f>IF(LEGER!P106="","",LEGER!P106)</f>
        <v>82.2</v>
      </c>
      <c r="K26" s="226">
        <f>IF(LEGER!Q106="","",LEGER!Q106)</f>
        <v>89</v>
      </c>
      <c r="L26" s="226">
        <f>IF(LEGER!R106="","",LEGER!R106)</f>
        <v>81</v>
      </c>
      <c r="M26" s="226">
        <f>IF(LEGER!S106="","",LEGER!S106)</f>
        <v>740.2</v>
      </c>
      <c r="N26" s="227">
        <f>IF(LEGER!T106="","",LEGER!T106)</f>
        <v>82.244444444444454</v>
      </c>
      <c r="O26" s="228">
        <f t="shared" si="0"/>
        <v>15</v>
      </c>
    </row>
    <row r="27" spans="2:15" hidden="1" x14ac:dyDescent="0.25">
      <c r="B27" s="226">
        <f>IF(LEGER!B107="","",LEGER!B107)</f>
        <v>21</v>
      </c>
      <c r="C27" s="226">
        <f>IF(LEGER!G107="","",LEGER!G107)</f>
        <v>0</v>
      </c>
      <c r="D27" s="226" t="str">
        <f>IF(LEGER!J111="","",LEGER!J111)</f>
        <v/>
      </c>
      <c r="E27" s="226" t="str">
        <f>IF(LEGER!K111="","",LEGER!K111)</f>
        <v/>
      </c>
      <c r="F27" s="226" t="str">
        <f>IF(LEGER!L111="","",LEGER!L111)</f>
        <v/>
      </c>
      <c r="G27" s="226" t="str">
        <f>IF(LEGER!M111="","",LEGER!M111)</f>
        <v/>
      </c>
      <c r="H27" s="226" t="str">
        <f>IF(LEGER!N111="","",LEGER!N111)</f>
        <v/>
      </c>
      <c r="I27" s="226" t="str">
        <f>IF(LEGER!O111="","",LEGER!O111)</f>
        <v/>
      </c>
      <c r="J27" s="226" t="str">
        <f>IF(LEGER!P111="","",LEGER!P111)</f>
        <v/>
      </c>
      <c r="K27" s="226" t="str">
        <f>IF(LEGER!Q111="","",LEGER!Q111)</f>
        <v/>
      </c>
      <c r="L27" s="226" t="str">
        <f>IF(LEGER!R111="","",LEGER!R111)</f>
        <v/>
      </c>
      <c r="M27" s="226" t="str">
        <f>IF(LEGER!S111="","",LEGER!S111)</f>
        <v/>
      </c>
      <c r="N27" s="227" t="str">
        <f>IF(LEGER!T111="","",LEGER!T111)</f>
        <v/>
      </c>
      <c r="O27" s="228" t="str">
        <f t="shared" si="0"/>
        <v/>
      </c>
    </row>
    <row r="28" spans="2:15" hidden="1" x14ac:dyDescent="0.25">
      <c r="B28" s="226">
        <f>IF(LEGER!B112="","",LEGER!B112)</f>
        <v>22</v>
      </c>
      <c r="C28" s="226">
        <f>IF(LEGER!G112="","",LEGER!G112)</f>
        <v>0</v>
      </c>
      <c r="D28" s="226" t="str">
        <f>IF(LEGER!J116="","",LEGER!J116)</f>
        <v/>
      </c>
      <c r="E28" s="226" t="str">
        <f>IF(LEGER!K116="","",LEGER!K116)</f>
        <v/>
      </c>
      <c r="F28" s="226" t="str">
        <f>IF(LEGER!L116="","",LEGER!L116)</f>
        <v/>
      </c>
      <c r="G28" s="226" t="str">
        <f>IF(LEGER!M116="","",LEGER!M116)</f>
        <v/>
      </c>
      <c r="H28" s="226" t="str">
        <f>IF(LEGER!N116="","",LEGER!N116)</f>
        <v/>
      </c>
      <c r="I28" s="226" t="str">
        <f>IF(LEGER!O116="","",LEGER!O116)</f>
        <v/>
      </c>
      <c r="J28" s="226" t="str">
        <f>IF(LEGER!P116="","",LEGER!P116)</f>
        <v/>
      </c>
      <c r="K28" s="226" t="str">
        <f>IF(LEGER!Q116="","",LEGER!Q116)</f>
        <v/>
      </c>
      <c r="L28" s="226" t="str">
        <f>IF(LEGER!R116="","",LEGER!R116)</f>
        <v/>
      </c>
      <c r="M28" s="226" t="str">
        <f>IF(LEGER!S116="","",LEGER!S116)</f>
        <v/>
      </c>
      <c r="N28" s="227" t="str">
        <f>IF(LEGER!T116="","",LEGER!T116)</f>
        <v/>
      </c>
      <c r="O28" s="228" t="str">
        <f t="shared" si="0"/>
        <v/>
      </c>
    </row>
    <row r="29" spans="2:15" hidden="1" x14ac:dyDescent="0.25">
      <c r="B29" s="226">
        <f>IF(LEGER!B117="","",LEGER!B117)</f>
        <v>23</v>
      </c>
      <c r="C29" s="226">
        <f>IF(LEGER!G117="","",LEGER!G117)</f>
        <v>0</v>
      </c>
      <c r="D29" s="226" t="str">
        <f>IF(LEGER!J121="","",LEGER!J121)</f>
        <v/>
      </c>
      <c r="E29" s="226" t="str">
        <f>IF(LEGER!K121="","",LEGER!K121)</f>
        <v/>
      </c>
      <c r="F29" s="226" t="str">
        <f>IF(LEGER!L121="","",LEGER!L121)</f>
        <v/>
      </c>
      <c r="G29" s="226" t="str">
        <f>IF(LEGER!M121="","",LEGER!M121)</f>
        <v/>
      </c>
      <c r="H29" s="226" t="str">
        <f>IF(LEGER!N121="","",LEGER!N121)</f>
        <v/>
      </c>
      <c r="I29" s="226" t="str">
        <f>IF(LEGER!O121="","",LEGER!O121)</f>
        <v/>
      </c>
      <c r="J29" s="226" t="str">
        <f>IF(LEGER!P121="","",LEGER!P121)</f>
        <v/>
      </c>
      <c r="K29" s="226" t="str">
        <f>IF(LEGER!Q121="","",LEGER!Q121)</f>
        <v/>
      </c>
      <c r="L29" s="226" t="str">
        <f>IF(LEGER!R121="","",LEGER!R121)</f>
        <v/>
      </c>
      <c r="M29" s="226" t="str">
        <f>IF(LEGER!S121="","",LEGER!S121)</f>
        <v/>
      </c>
      <c r="N29" s="227" t="str">
        <f>IF(LEGER!T121="","",LEGER!T121)</f>
        <v/>
      </c>
      <c r="O29" s="228" t="str">
        <f t="shared" si="0"/>
        <v/>
      </c>
    </row>
    <row r="30" spans="2:15" hidden="1" x14ac:dyDescent="0.25">
      <c r="B30" s="226">
        <f>IF(LEGER!B122="","",LEGER!B122)</f>
        <v>24</v>
      </c>
      <c r="C30" s="226">
        <f>IF(LEGER!G122="","",LEGER!G122)</f>
        <v>0</v>
      </c>
      <c r="D30" s="226" t="str">
        <f>IF(LEGER!J126="","",LEGER!J126)</f>
        <v/>
      </c>
      <c r="E30" s="226" t="str">
        <f>IF(LEGER!K126="","",LEGER!K126)</f>
        <v/>
      </c>
      <c r="F30" s="226" t="str">
        <f>IF(LEGER!L126="","",LEGER!L126)</f>
        <v/>
      </c>
      <c r="G30" s="226" t="str">
        <f>IF(LEGER!M126="","",LEGER!M126)</f>
        <v/>
      </c>
      <c r="H30" s="226" t="str">
        <f>IF(LEGER!N126="","",LEGER!N126)</f>
        <v/>
      </c>
      <c r="I30" s="226" t="str">
        <f>IF(LEGER!O126="","",LEGER!O126)</f>
        <v/>
      </c>
      <c r="J30" s="226" t="str">
        <f>IF(LEGER!P126="","",LEGER!P126)</f>
        <v/>
      </c>
      <c r="K30" s="226" t="str">
        <f>IF(LEGER!Q126="","",LEGER!Q126)</f>
        <v/>
      </c>
      <c r="L30" s="226" t="str">
        <f>IF(LEGER!R126="","",LEGER!R126)</f>
        <v/>
      </c>
      <c r="M30" s="226" t="str">
        <f>IF(LEGER!S126="","",LEGER!S126)</f>
        <v/>
      </c>
      <c r="N30" s="227" t="str">
        <f>IF(LEGER!T126="","",LEGER!T126)</f>
        <v/>
      </c>
      <c r="O30" s="228" t="str">
        <f t="shared" si="0"/>
        <v/>
      </c>
    </row>
    <row r="31" spans="2:15" hidden="1" x14ac:dyDescent="0.25">
      <c r="B31" s="226">
        <f>IF(LEGER!B127="","",LEGER!B127)</f>
        <v>25</v>
      </c>
      <c r="C31" s="226">
        <f>IF(LEGER!G127="","",LEGER!G127)</f>
        <v>0</v>
      </c>
      <c r="D31" s="226" t="str">
        <f>IF(LEGER!J131="","",LEGER!J131)</f>
        <v/>
      </c>
      <c r="E31" s="226" t="str">
        <f>IF(LEGER!K131="","",LEGER!K131)</f>
        <v/>
      </c>
      <c r="F31" s="226" t="str">
        <f>IF(LEGER!L131="","",LEGER!L131)</f>
        <v/>
      </c>
      <c r="G31" s="226" t="str">
        <f>IF(LEGER!M131="","",LEGER!M131)</f>
        <v/>
      </c>
      <c r="H31" s="226" t="str">
        <f>IF(LEGER!N131="","",LEGER!N131)</f>
        <v/>
      </c>
      <c r="I31" s="226" t="str">
        <f>IF(LEGER!O131="","",LEGER!O131)</f>
        <v/>
      </c>
      <c r="J31" s="226" t="str">
        <f>IF(LEGER!P131="","",LEGER!P131)</f>
        <v/>
      </c>
      <c r="K31" s="226" t="str">
        <f>IF(LEGER!Q131="","",LEGER!Q131)</f>
        <v/>
      </c>
      <c r="L31" s="226" t="str">
        <f>IF(LEGER!R131="","",LEGER!R131)</f>
        <v/>
      </c>
      <c r="M31" s="226" t="str">
        <f>IF(LEGER!S131="","",LEGER!S131)</f>
        <v/>
      </c>
      <c r="N31" s="227" t="str">
        <f>IF(LEGER!T131="","",LEGER!T131)</f>
        <v/>
      </c>
      <c r="O31" s="228" t="str">
        <f t="shared" si="0"/>
        <v/>
      </c>
    </row>
    <row r="32" spans="2:15" hidden="1" x14ac:dyDescent="0.25">
      <c r="B32" s="226">
        <f>IF(LEGER!B132="","",LEGER!B132)</f>
        <v>26</v>
      </c>
      <c r="C32" s="226">
        <f>IF(LEGER!G132="","",LEGER!G132)</f>
        <v>0</v>
      </c>
      <c r="D32" s="226" t="str">
        <f>IF(LEGER!J136="","",LEGER!J136)</f>
        <v/>
      </c>
      <c r="E32" s="226" t="str">
        <f>IF(LEGER!K136="","",LEGER!K136)</f>
        <v/>
      </c>
      <c r="F32" s="226" t="str">
        <f>IF(LEGER!L136="","",LEGER!L136)</f>
        <v/>
      </c>
      <c r="G32" s="226" t="str">
        <f>IF(LEGER!M136="","",LEGER!M136)</f>
        <v/>
      </c>
      <c r="H32" s="226" t="str">
        <f>IF(LEGER!N136="","",LEGER!N136)</f>
        <v/>
      </c>
      <c r="I32" s="226" t="str">
        <f>IF(LEGER!O136="","",LEGER!O136)</f>
        <v/>
      </c>
      <c r="J32" s="226" t="str">
        <f>IF(LEGER!P136="","",LEGER!P136)</f>
        <v/>
      </c>
      <c r="K32" s="226" t="str">
        <f>IF(LEGER!Q136="","",LEGER!Q136)</f>
        <v/>
      </c>
      <c r="L32" s="226" t="str">
        <f>IF(LEGER!R136="","",LEGER!R136)</f>
        <v/>
      </c>
      <c r="M32" s="226" t="str">
        <f>IF(LEGER!S136="","",LEGER!S136)</f>
        <v/>
      </c>
      <c r="N32" s="227" t="str">
        <f>IF(LEGER!T136="","",LEGER!T136)</f>
        <v/>
      </c>
      <c r="O32" s="228" t="str">
        <f t="shared" si="0"/>
        <v/>
      </c>
    </row>
    <row r="33" spans="2:15" hidden="1" x14ac:dyDescent="0.25">
      <c r="B33" s="226">
        <f>IF(LEGER!B137="","",LEGER!B137)</f>
        <v>27</v>
      </c>
      <c r="C33" s="226">
        <f>IF(LEGER!G137="","",LEGER!G137)</f>
        <v>0</v>
      </c>
      <c r="D33" s="226" t="str">
        <f>IF(LEGER!J141="","",LEGER!J141)</f>
        <v/>
      </c>
      <c r="E33" s="226" t="str">
        <f>IF(LEGER!K141="","",LEGER!K141)</f>
        <v/>
      </c>
      <c r="F33" s="226" t="str">
        <f>IF(LEGER!L141="","",LEGER!L141)</f>
        <v/>
      </c>
      <c r="G33" s="226" t="str">
        <f>IF(LEGER!M141="","",LEGER!M141)</f>
        <v/>
      </c>
      <c r="H33" s="226" t="str">
        <f>IF(LEGER!N141="","",LEGER!N141)</f>
        <v/>
      </c>
      <c r="I33" s="226" t="str">
        <f>IF(LEGER!O141="","",LEGER!O141)</f>
        <v/>
      </c>
      <c r="J33" s="226" t="str">
        <f>IF(LEGER!P141="","",LEGER!P141)</f>
        <v/>
      </c>
      <c r="K33" s="226" t="str">
        <f>IF(LEGER!Q141="","",LEGER!Q141)</f>
        <v/>
      </c>
      <c r="L33" s="226" t="str">
        <f>IF(LEGER!R141="","",LEGER!R141)</f>
        <v/>
      </c>
      <c r="M33" s="226" t="str">
        <f>IF(LEGER!S141="","",LEGER!S141)</f>
        <v/>
      </c>
      <c r="N33" s="227" t="str">
        <f>IF(LEGER!T141="","",LEGER!T141)</f>
        <v/>
      </c>
      <c r="O33" s="228" t="str">
        <f t="shared" si="0"/>
        <v/>
      </c>
    </row>
    <row r="34" spans="2:15" hidden="1" x14ac:dyDescent="0.25">
      <c r="B34" s="226">
        <f>IF(LEGER!B142="","",LEGER!B142)</f>
        <v>28</v>
      </c>
      <c r="C34" s="226">
        <f>IF(LEGER!G142="","",LEGER!G142)</f>
        <v>0</v>
      </c>
      <c r="D34" s="226" t="str">
        <f>IF(LEGER!J146="","",LEGER!J146)</f>
        <v/>
      </c>
      <c r="E34" s="226" t="str">
        <f>IF(LEGER!K146="","",LEGER!K146)</f>
        <v/>
      </c>
      <c r="F34" s="226" t="str">
        <f>IF(LEGER!L146="","",LEGER!L146)</f>
        <v/>
      </c>
      <c r="G34" s="226" t="str">
        <f>IF(LEGER!M146="","",LEGER!M146)</f>
        <v/>
      </c>
      <c r="H34" s="226" t="str">
        <f>IF(LEGER!N146="","",LEGER!N146)</f>
        <v/>
      </c>
      <c r="I34" s="226" t="str">
        <f>IF(LEGER!O146="","",LEGER!O146)</f>
        <v/>
      </c>
      <c r="J34" s="226" t="str">
        <f>IF(LEGER!P146="","",LEGER!P146)</f>
        <v/>
      </c>
      <c r="K34" s="226" t="str">
        <f>IF(LEGER!Q146="","",LEGER!Q146)</f>
        <v/>
      </c>
      <c r="L34" s="226" t="str">
        <f>IF(LEGER!R146="","",LEGER!R146)</f>
        <v/>
      </c>
      <c r="M34" s="226" t="str">
        <f>IF(LEGER!S146="","",LEGER!S146)</f>
        <v/>
      </c>
      <c r="N34" s="227" t="str">
        <f>IF(LEGER!T146="","",LEGER!T146)</f>
        <v/>
      </c>
      <c r="O34" s="228" t="str">
        <f t="shared" si="0"/>
        <v/>
      </c>
    </row>
    <row r="35" spans="2:15" hidden="1" x14ac:dyDescent="0.25">
      <c r="B35" s="226">
        <f>IF(LEGER!B147="","",LEGER!B147)</f>
        <v>29</v>
      </c>
      <c r="C35" s="226">
        <f>IF(LEGER!G147="","",LEGER!G147)</f>
        <v>0</v>
      </c>
      <c r="D35" s="226" t="str">
        <f>IF(LEGER!J151="","",LEGER!J151)</f>
        <v/>
      </c>
      <c r="E35" s="226" t="str">
        <f>IF(LEGER!K151="","",LEGER!K151)</f>
        <v/>
      </c>
      <c r="F35" s="226" t="str">
        <f>IF(LEGER!L151="","",LEGER!L151)</f>
        <v/>
      </c>
      <c r="G35" s="226" t="str">
        <f>IF(LEGER!M151="","",LEGER!M151)</f>
        <v/>
      </c>
      <c r="H35" s="226" t="str">
        <f>IF(LEGER!N151="","",LEGER!N151)</f>
        <v/>
      </c>
      <c r="I35" s="226" t="str">
        <f>IF(LEGER!O151="","",LEGER!O151)</f>
        <v/>
      </c>
      <c r="J35" s="226" t="str">
        <f>IF(LEGER!P151="","",LEGER!P151)</f>
        <v/>
      </c>
      <c r="K35" s="226" t="str">
        <f>IF(LEGER!Q151="","",LEGER!Q151)</f>
        <v/>
      </c>
      <c r="L35" s="226" t="str">
        <f>IF(LEGER!R151="","",LEGER!R151)</f>
        <v/>
      </c>
      <c r="M35" s="226" t="str">
        <f>IF(LEGER!S151="","",LEGER!S151)</f>
        <v/>
      </c>
      <c r="N35" s="227" t="str">
        <f>IF(LEGER!T151="","",LEGER!T151)</f>
        <v/>
      </c>
      <c r="O35" s="228" t="str">
        <f t="shared" si="0"/>
        <v/>
      </c>
    </row>
    <row r="36" spans="2:15" hidden="1" x14ac:dyDescent="0.25">
      <c r="B36" s="226">
        <f>IF(LEGER!B152="","",LEGER!B152)</f>
        <v>30</v>
      </c>
      <c r="C36" s="226">
        <f>IF(LEGER!G152="","",LEGER!G152)</f>
        <v>0</v>
      </c>
      <c r="D36" s="226" t="str">
        <f>IF(LEGER!J156="","",LEGER!J156)</f>
        <v/>
      </c>
      <c r="E36" s="226" t="str">
        <f>IF(LEGER!K156="","",LEGER!K156)</f>
        <v/>
      </c>
      <c r="F36" s="226" t="str">
        <f>IF(LEGER!L156="","",LEGER!L156)</f>
        <v/>
      </c>
      <c r="G36" s="226" t="str">
        <f>IF(LEGER!M156="","",LEGER!M156)</f>
        <v/>
      </c>
      <c r="H36" s="226" t="str">
        <f>IF(LEGER!N156="","",LEGER!N156)</f>
        <v/>
      </c>
      <c r="I36" s="226" t="str">
        <f>IF(LEGER!O156="","",LEGER!O156)</f>
        <v/>
      </c>
      <c r="J36" s="226" t="str">
        <f>IF(LEGER!P156="","",LEGER!P156)</f>
        <v/>
      </c>
      <c r="K36" s="226" t="str">
        <f>IF(LEGER!Q156="","",LEGER!Q156)</f>
        <v/>
      </c>
      <c r="L36" s="226" t="str">
        <f>IF(LEGER!R156="","",LEGER!R156)</f>
        <v/>
      </c>
      <c r="M36" s="226" t="str">
        <f>IF(LEGER!S156="","",LEGER!S156)</f>
        <v/>
      </c>
      <c r="N36" s="227" t="str">
        <f>IF(LEGER!T156="","",LEGER!T156)</f>
        <v/>
      </c>
      <c r="O36" s="228" t="str">
        <f t="shared" si="0"/>
        <v/>
      </c>
    </row>
    <row r="37" spans="2:15" hidden="1" x14ac:dyDescent="0.25">
      <c r="B37" s="226">
        <f>IF(LEGER!B157="","",LEGER!B157)</f>
        <v>31</v>
      </c>
      <c r="C37" s="226">
        <f>IF(LEGER!G157="","",LEGER!G157)</f>
        <v>0</v>
      </c>
      <c r="D37" s="226" t="str">
        <f>IF(LEGER!J161="","",LEGER!J161)</f>
        <v/>
      </c>
      <c r="E37" s="226" t="str">
        <f>IF(LEGER!K161="","",LEGER!K161)</f>
        <v/>
      </c>
      <c r="F37" s="226" t="str">
        <f>IF(LEGER!L161="","",LEGER!L161)</f>
        <v/>
      </c>
      <c r="G37" s="226" t="str">
        <f>IF(LEGER!M161="","",LEGER!M161)</f>
        <v/>
      </c>
      <c r="H37" s="226" t="str">
        <f>IF(LEGER!N161="","",LEGER!N161)</f>
        <v/>
      </c>
      <c r="I37" s="226" t="str">
        <f>IF(LEGER!O161="","",LEGER!O161)</f>
        <v/>
      </c>
      <c r="J37" s="226" t="str">
        <f>IF(LEGER!P161="","",LEGER!P161)</f>
        <v/>
      </c>
      <c r="K37" s="226" t="str">
        <f>IF(LEGER!Q161="","",LEGER!Q161)</f>
        <v/>
      </c>
      <c r="L37" s="226" t="str">
        <f>IF(LEGER!R161="","",LEGER!R161)</f>
        <v/>
      </c>
      <c r="M37" s="226" t="str">
        <f>IF(LEGER!S161="","",LEGER!S161)</f>
        <v/>
      </c>
      <c r="N37" s="227" t="str">
        <f>IF(LEGER!T161="","",LEGER!T161)</f>
        <v/>
      </c>
      <c r="O37" s="228" t="str">
        <f t="shared" si="0"/>
        <v/>
      </c>
    </row>
    <row r="38" spans="2:15" hidden="1" x14ac:dyDescent="0.25">
      <c r="B38" s="226">
        <f>IF(LEGER!B162="","",LEGER!B162)</f>
        <v>32</v>
      </c>
      <c r="C38" s="226">
        <f>IF(LEGER!G162="","",LEGER!G162)</f>
        <v>0</v>
      </c>
      <c r="D38" s="226" t="str">
        <f>IF(LEGER!J166="","",LEGER!J166)</f>
        <v/>
      </c>
      <c r="E38" s="226" t="str">
        <f>IF(LEGER!K166="","",LEGER!K166)</f>
        <v/>
      </c>
      <c r="F38" s="226" t="str">
        <f>IF(LEGER!L166="","",LEGER!L166)</f>
        <v/>
      </c>
      <c r="G38" s="226" t="str">
        <f>IF(LEGER!M166="","",LEGER!M166)</f>
        <v/>
      </c>
      <c r="H38" s="226" t="str">
        <f>IF(LEGER!N166="","",LEGER!N166)</f>
        <v/>
      </c>
      <c r="I38" s="226" t="str">
        <f>IF(LEGER!O166="","",LEGER!O166)</f>
        <v/>
      </c>
      <c r="J38" s="226" t="str">
        <f>IF(LEGER!P166="","",LEGER!P166)</f>
        <v/>
      </c>
      <c r="K38" s="226" t="str">
        <f>IF(LEGER!Q166="","",LEGER!Q166)</f>
        <v/>
      </c>
      <c r="L38" s="226" t="str">
        <f>IF(LEGER!R166="","",LEGER!R166)</f>
        <v/>
      </c>
      <c r="M38" s="226" t="str">
        <f>IF(LEGER!S166="","",LEGER!S166)</f>
        <v/>
      </c>
      <c r="N38" s="227" t="str">
        <f>IF(LEGER!T166="","",LEGER!T166)</f>
        <v/>
      </c>
      <c r="O38" s="228" t="str">
        <f t="shared" si="0"/>
        <v/>
      </c>
    </row>
    <row r="39" spans="2:15" hidden="1" x14ac:dyDescent="0.25">
      <c r="B39" s="226">
        <f>IF(LEGER!B167="","",LEGER!B167)</f>
        <v>33</v>
      </c>
      <c r="C39" s="226">
        <f>IF(LEGER!G167="","",LEGER!G167)</f>
        <v>0</v>
      </c>
      <c r="D39" s="226" t="str">
        <f>IF(LEGER!J171="","",LEGER!J171)</f>
        <v/>
      </c>
      <c r="E39" s="226" t="str">
        <f>IF(LEGER!K171="","",LEGER!K171)</f>
        <v/>
      </c>
      <c r="F39" s="226" t="str">
        <f>IF(LEGER!L171="","",LEGER!L171)</f>
        <v/>
      </c>
      <c r="G39" s="226" t="str">
        <f>IF(LEGER!M171="","",LEGER!M171)</f>
        <v/>
      </c>
      <c r="H39" s="226" t="str">
        <f>IF(LEGER!N171="","",LEGER!N171)</f>
        <v/>
      </c>
      <c r="I39" s="226" t="str">
        <f>IF(LEGER!O171="","",LEGER!O171)</f>
        <v/>
      </c>
      <c r="J39" s="226" t="str">
        <f>IF(LEGER!P171="","",LEGER!P171)</f>
        <v/>
      </c>
      <c r="K39" s="226" t="str">
        <f>IF(LEGER!Q171="","",LEGER!Q171)</f>
        <v/>
      </c>
      <c r="L39" s="226" t="str">
        <f>IF(LEGER!R171="","",LEGER!R171)</f>
        <v/>
      </c>
      <c r="M39" s="226" t="str">
        <f>IF(LEGER!S171="","",LEGER!S171)</f>
        <v/>
      </c>
      <c r="N39" s="227" t="str">
        <f>IF(LEGER!T171="","",LEGER!T171)</f>
        <v/>
      </c>
      <c r="O39" s="228" t="str">
        <f t="shared" si="0"/>
        <v/>
      </c>
    </row>
    <row r="40" spans="2:15" hidden="1" x14ac:dyDescent="0.25">
      <c r="B40" s="226">
        <f>IF(LEGER!B172="","",LEGER!B172)</f>
        <v>34</v>
      </c>
      <c r="C40" s="226">
        <f>IF(LEGER!G172="","",LEGER!G172)</f>
        <v>0</v>
      </c>
      <c r="D40" s="226" t="str">
        <f>IF(LEGER!J176="","",LEGER!J176)</f>
        <v/>
      </c>
      <c r="E40" s="226" t="str">
        <f>IF(LEGER!K176="","",LEGER!K176)</f>
        <v/>
      </c>
      <c r="F40" s="226" t="str">
        <f>IF(LEGER!L176="","",LEGER!L176)</f>
        <v/>
      </c>
      <c r="G40" s="226" t="str">
        <f>IF(LEGER!M176="","",LEGER!M176)</f>
        <v/>
      </c>
      <c r="H40" s="226" t="str">
        <f>IF(LEGER!N176="","",LEGER!N176)</f>
        <v/>
      </c>
      <c r="I40" s="226" t="str">
        <f>IF(LEGER!O176="","",LEGER!O176)</f>
        <v/>
      </c>
      <c r="J40" s="226" t="str">
        <f>IF(LEGER!P176="","",LEGER!P176)</f>
        <v/>
      </c>
      <c r="K40" s="226" t="str">
        <f>IF(LEGER!Q176="","",LEGER!Q176)</f>
        <v/>
      </c>
      <c r="L40" s="226" t="str">
        <f>IF(LEGER!R176="","",LEGER!R176)</f>
        <v/>
      </c>
      <c r="M40" s="226" t="str">
        <f>IF(LEGER!S176="","",LEGER!S176)</f>
        <v/>
      </c>
      <c r="N40" s="227" t="str">
        <f>IF(LEGER!T176="","",LEGER!T176)</f>
        <v/>
      </c>
      <c r="O40" s="228" t="str">
        <f t="shared" si="0"/>
        <v/>
      </c>
    </row>
    <row r="41" spans="2:15" hidden="1" x14ac:dyDescent="0.25">
      <c r="B41" s="226">
        <f>IF(LEGER!B177="","",LEGER!B177)</f>
        <v>35</v>
      </c>
      <c r="C41" s="226">
        <f>IF(LEGER!G177="","",LEGER!G177)</f>
        <v>0</v>
      </c>
      <c r="D41" s="226" t="str">
        <f>IF(LEGER!J181="","",LEGER!J181)</f>
        <v/>
      </c>
      <c r="E41" s="226" t="str">
        <f>IF(LEGER!K181="","",LEGER!K181)</f>
        <v/>
      </c>
      <c r="F41" s="226" t="str">
        <f>IF(LEGER!L181="","",LEGER!L181)</f>
        <v/>
      </c>
      <c r="G41" s="226" t="str">
        <f>IF(LEGER!M181="","",LEGER!M181)</f>
        <v/>
      </c>
      <c r="H41" s="226" t="str">
        <f>IF(LEGER!N181="","",LEGER!N181)</f>
        <v/>
      </c>
      <c r="I41" s="226" t="str">
        <f>IF(LEGER!O181="","",LEGER!O181)</f>
        <v/>
      </c>
      <c r="J41" s="226" t="str">
        <f>IF(LEGER!P181="","",LEGER!P181)</f>
        <v/>
      </c>
      <c r="K41" s="226" t="str">
        <f>IF(LEGER!Q181="","",LEGER!Q181)</f>
        <v/>
      </c>
      <c r="L41" s="226" t="str">
        <f>IF(LEGER!R181="","",LEGER!R181)</f>
        <v/>
      </c>
      <c r="M41" s="226" t="str">
        <f>IF(LEGER!S181="","",LEGER!S181)</f>
        <v/>
      </c>
      <c r="N41" s="227" t="str">
        <f>IF(LEGER!T181="","",LEGER!T181)</f>
        <v/>
      </c>
      <c r="O41" s="228" t="str">
        <f t="shared" si="0"/>
        <v/>
      </c>
    </row>
    <row r="42" spans="2:15" hidden="1" x14ac:dyDescent="0.25">
      <c r="B42" s="226">
        <f>IF(LEGER!B182="","",LEGER!B182)</f>
        <v>36</v>
      </c>
      <c r="C42" s="226">
        <f>IF(LEGER!G182="","",LEGER!G182)</f>
        <v>0</v>
      </c>
      <c r="D42" s="226" t="str">
        <f>IF(LEGER!J186="","",LEGER!J186)</f>
        <v/>
      </c>
      <c r="E42" s="226" t="str">
        <f>IF(LEGER!K186="","",LEGER!K186)</f>
        <v/>
      </c>
      <c r="F42" s="226" t="str">
        <f>IF(LEGER!L186="","",LEGER!L186)</f>
        <v/>
      </c>
      <c r="G42" s="226" t="str">
        <f>IF(LEGER!M186="","",LEGER!M186)</f>
        <v/>
      </c>
      <c r="H42" s="226" t="str">
        <f>IF(LEGER!N186="","",LEGER!N186)</f>
        <v/>
      </c>
      <c r="I42" s="226" t="str">
        <f>IF(LEGER!O186="","",LEGER!O186)</f>
        <v/>
      </c>
      <c r="J42" s="226" t="str">
        <f>IF(LEGER!P186="","",LEGER!P186)</f>
        <v/>
      </c>
      <c r="K42" s="226" t="str">
        <f>IF(LEGER!Q186="","",LEGER!Q186)</f>
        <v/>
      </c>
      <c r="L42" s="226" t="str">
        <f>IF(LEGER!R186="","",LEGER!R186)</f>
        <v/>
      </c>
      <c r="M42" s="226" t="str">
        <f>IF(LEGER!S186="","",LEGER!S186)</f>
        <v/>
      </c>
      <c r="N42" s="227" t="str">
        <f>IF(LEGER!T186="","",LEGER!T186)</f>
        <v/>
      </c>
      <c r="O42" s="228" t="str">
        <f t="shared" si="0"/>
        <v/>
      </c>
    </row>
    <row r="43" spans="2:15" hidden="1" x14ac:dyDescent="0.25">
      <c r="B43" s="226">
        <f>IF(LEGER!B187="","",LEGER!B187)</f>
        <v>37</v>
      </c>
      <c r="C43" s="226">
        <f>IF(LEGER!G187="","",LEGER!G187)</f>
        <v>0</v>
      </c>
      <c r="D43" s="226" t="str">
        <f>IF(LEGER!J191="","",LEGER!J191)</f>
        <v/>
      </c>
      <c r="E43" s="226" t="str">
        <f>IF(LEGER!K191="","",LEGER!K191)</f>
        <v/>
      </c>
      <c r="F43" s="226" t="str">
        <f>IF(LEGER!L191="","",LEGER!L191)</f>
        <v/>
      </c>
      <c r="G43" s="226" t="str">
        <f>IF(LEGER!M191="","",LEGER!M191)</f>
        <v/>
      </c>
      <c r="H43" s="226" t="str">
        <f>IF(LEGER!N191="","",LEGER!N191)</f>
        <v/>
      </c>
      <c r="I43" s="226" t="str">
        <f>IF(LEGER!O191="","",LEGER!O191)</f>
        <v/>
      </c>
      <c r="J43" s="226" t="str">
        <f>IF(LEGER!P191="","",LEGER!P191)</f>
        <v/>
      </c>
      <c r="K43" s="226" t="str">
        <f>IF(LEGER!Q191="","",LEGER!Q191)</f>
        <v/>
      </c>
      <c r="L43" s="226" t="str">
        <f>IF(LEGER!R191="","",LEGER!R191)</f>
        <v/>
      </c>
      <c r="M43" s="226" t="str">
        <f>IF(LEGER!S191="","",LEGER!S191)</f>
        <v/>
      </c>
      <c r="N43" s="227" t="str">
        <f>IF(LEGER!T191="","",LEGER!T191)</f>
        <v/>
      </c>
      <c r="O43" s="228" t="str">
        <f t="shared" si="0"/>
        <v/>
      </c>
    </row>
    <row r="44" spans="2:15" hidden="1" x14ac:dyDescent="0.25">
      <c r="B44" s="226">
        <f>IF(LEGER!B192="","",LEGER!B192)</f>
        <v>38</v>
      </c>
      <c r="C44" s="226">
        <f>IF(LEGER!G192="","",LEGER!G192)</f>
        <v>0</v>
      </c>
      <c r="D44" s="226" t="str">
        <f>IF(LEGER!J196="","",LEGER!J196)</f>
        <v/>
      </c>
      <c r="E44" s="226" t="str">
        <f>IF(LEGER!K196="","",LEGER!K196)</f>
        <v/>
      </c>
      <c r="F44" s="226" t="str">
        <f>IF(LEGER!L196="","",LEGER!L196)</f>
        <v/>
      </c>
      <c r="G44" s="226" t="str">
        <f>IF(LEGER!M196="","",LEGER!M196)</f>
        <v/>
      </c>
      <c r="H44" s="226" t="str">
        <f>IF(LEGER!N196="","",LEGER!N196)</f>
        <v/>
      </c>
      <c r="I44" s="226" t="str">
        <f>IF(LEGER!O196="","",LEGER!O196)</f>
        <v/>
      </c>
      <c r="J44" s="226" t="str">
        <f>IF(LEGER!P196="","",LEGER!P196)</f>
        <v/>
      </c>
      <c r="K44" s="226" t="str">
        <f>IF(LEGER!Q196="","",LEGER!Q196)</f>
        <v/>
      </c>
      <c r="L44" s="226" t="str">
        <f>IF(LEGER!R196="","",LEGER!R196)</f>
        <v/>
      </c>
      <c r="M44" s="226" t="str">
        <f>IF(LEGER!S196="","",LEGER!S196)</f>
        <v/>
      </c>
      <c r="N44" s="227" t="str">
        <f>IF(LEGER!T196="","",LEGER!T196)</f>
        <v/>
      </c>
      <c r="O44" s="228" t="str">
        <f t="shared" si="0"/>
        <v/>
      </c>
    </row>
    <row r="45" spans="2:15" hidden="1" x14ac:dyDescent="0.25">
      <c r="B45" s="226">
        <f>IF(LEGER!B197="","",LEGER!B197)</f>
        <v>39</v>
      </c>
      <c r="C45" s="226">
        <f>IF(LEGER!G197="","",LEGER!G197)</f>
        <v>0</v>
      </c>
      <c r="D45" s="226" t="str">
        <f>IF(LEGER!J201="","",LEGER!J201)</f>
        <v/>
      </c>
      <c r="E45" s="226" t="str">
        <f>IF(LEGER!K201="","",LEGER!K201)</f>
        <v/>
      </c>
      <c r="F45" s="226" t="str">
        <f>IF(LEGER!L201="","",LEGER!L201)</f>
        <v/>
      </c>
      <c r="G45" s="226" t="str">
        <f>IF(LEGER!M201="","",LEGER!M201)</f>
        <v/>
      </c>
      <c r="H45" s="226" t="str">
        <f>IF(LEGER!N201="","",LEGER!N201)</f>
        <v/>
      </c>
      <c r="I45" s="226" t="str">
        <f>IF(LEGER!O201="","",LEGER!O201)</f>
        <v/>
      </c>
      <c r="J45" s="226" t="str">
        <f>IF(LEGER!P201="","",LEGER!P201)</f>
        <v/>
      </c>
      <c r="K45" s="226" t="str">
        <f>IF(LEGER!Q201="","",LEGER!Q201)</f>
        <v/>
      </c>
      <c r="L45" s="226" t="str">
        <f>IF(LEGER!R201="","",LEGER!R201)</f>
        <v/>
      </c>
      <c r="M45" s="226" t="str">
        <f>IF(LEGER!S201="","",LEGER!S201)</f>
        <v/>
      </c>
      <c r="N45" s="227" t="str">
        <f>IF(LEGER!T201="","",LEGER!T201)</f>
        <v/>
      </c>
      <c r="O45" s="228" t="str">
        <f t="shared" si="0"/>
        <v/>
      </c>
    </row>
    <row r="46" spans="2:15" hidden="1" x14ac:dyDescent="0.25">
      <c r="B46" s="226">
        <f>IF(LEGER!B202="","",LEGER!B202)</f>
        <v>40</v>
      </c>
      <c r="C46" s="226">
        <f>IF(LEGER!G202="","",LEGER!G202)</f>
        <v>0</v>
      </c>
      <c r="D46" s="226" t="str">
        <f>IF(LEGER!J206="","",LEGER!J206)</f>
        <v/>
      </c>
      <c r="E46" s="226" t="str">
        <f>IF(LEGER!K206="","",LEGER!K206)</f>
        <v/>
      </c>
      <c r="F46" s="226" t="str">
        <f>IF(LEGER!L206="","",LEGER!L206)</f>
        <v/>
      </c>
      <c r="G46" s="226" t="str">
        <f>IF(LEGER!M206="","",LEGER!M206)</f>
        <v/>
      </c>
      <c r="H46" s="226" t="str">
        <f>IF(LEGER!N206="","",LEGER!N206)</f>
        <v/>
      </c>
      <c r="I46" s="226" t="str">
        <f>IF(LEGER!O206="","",LEGER!O206)</f>
        <v/>
      </c>
      <c r="J46" s="226" t="str">
        <f>IF(LEGER!P206="","",LEGER!P206)</f>
        <v/>
      </c>
      <c r="K46" s="226" t="str">
        <f>IF(LEGER!Q206="","",LEGER!Q206)</f>
        <v/>
      </c>
      <c r="L46" s="226" t="str">
        <f>IF(LEGER!R206="","",LEGER!R206)</f>
        <v/>
      </c>
      <c r="M46" s="226" t="str">
        <f>IF(LEGER!S206="","",LEGER!S206)</f>
        <v/>
      </c>
      <c r="N46" s="227" t="str">
        <f>IF(LEGER!T206="","",LEGER!T206)</f>
        <v/>
      </c>
      <c r="O46" s="228" t="str">
        <f t="shared" si="0"/>
        <v/>
      </c>
    </row>
    <row r="47" spans="2:15" x14ac:dyDescent="0.25">
      <c r="B47" s="229"/>
      <c r="C47" s="229" t="s">
        <v>155</v>
      </c>
      <c r="D47" s="226">
        <f>MAX(D7:D46)</f>
        <v>94.2</v>
      </c>
      <c r="E47" s="226">
        <f t="shared" ref="E47:M47" si="1">MAX(E7:E46)</f>
        <v>96.4</v>
      </c>
      <c r="F47" s="226">
        <f t="shared" si="1"/>
        <v>96.6</v>
      </c>
      <c r="G47" s="226">
        <f t="shared" si="1"/>
        <v>97.6</v>
      </c>
      <c r="H47" s="226">
        <f t="shared" si="1"/>
        <v>94</v>
      </c>
      <c r="I47" s="226">
        <f t="shared" si="1"/>
        <v>95.4</v>
      </c>
      <c r="J47" s="226">
        <f t="shared" si="1"/>
        <v>91.6</v>
      </c>
      <c r="K47" s="226">
        <f t="shared" si="1"/>
        <v>92.6</v>
      </c>
      <c r="L47" s="226">
        <f t="shared" si="1"/>
        <v>91.6</v>
      </c>
      <c r="M47" s="226">
        <f t="shared" si="1"/>
        <v>829.80000000000007</v>
      </c>
      <c r="N47" s="227">
        <f>MAX(N7:N46)</f>
        <v>92.2</v>
      </c>
      <c r="O47" s="230"/>
    </row>
    <row r="48" spans="2:15" x14ac:dyDescent="0.25">
      <c r="B48" s="229"/>
      <c r="C48" s="229" t="s">
        <v>156</v>
      </c>
      <c r="D48" s="226">
        <f>MIN(D7:D46)</f>
        <v>80.2</v>
      </c>
      <c r="E48" s="226">
        <f t="shared" ref="E48:M48" si="2">MIN(E7:E46)</f>
        <v>79.599999999999994</v>
      </c>
      <c r="F48" s="226">
        <f t="shared" si="2"/>
        <v>80.2</v>
      </c>
      <c r="G48" s="226">
        <f t="shared" si="2"/>
        <v>80.2</v>
      </c>
      <c r="H48" s="226">
        <f t="shared" si="2"/>
        <v>79.599999999999994</v>
      </c>
      <c r="I48" s="226">
        <f t="shared" si="2"/>
        <v>79.400000000000006</v>
      </c>
      <c r="J48" s="226">
        <f t="shared" si="2"/>
        <v>81.599999999999994</v>
      </c>
      <c r="K48" s="226">
        <f t="shared" si="2"/>
        <v>85.6</v>
      </c>
      <c r="L48" s="226">
        <f t="shared" si="2"/>
        <v>80.400000000000006</v>
      </c>
      <c r="M48" s="226">
        <f t="shared" si="2"/>
        <v>734</v>
      </c>
      <c r="N48" s="227">
        <f>MIN(N7:N46)</f>
        <v>81.555555555555557</v>
      </c>
      <c r="O48" s="230"/>
    </row>
    <row r="49" spans="2:15" x14ac:dyDescent="0.25">
      <c r="B49" s="229"/>
      <c r="C49" s="229" t="s">
        <v>157</v>
      </c>
      <c r="D49" s="226">
        <f>SUM(D7:D46)</f>
        <v>1705.2000000000003</v>
      </c>
      <c r="E49" s="226">
        <f t="shared" ref="E49:M49" si="3">SUM(E7:E46)</f>
        <v>1710.8000000000002</v>
      </c>
      <c r="F49" s="226">
        <f t="shared" si="3"/>
        <v>1760.2000000000003</v>
      </c>
      <c r="G49" s="226">
        <f t="shared" si="3"/>
        <v>1693.8000000000002</v>
      </c>
      <c r="H49" s="226">
        <f t="shared" si="3"/>
        <v>1694.4</v>
      </c>
      <c r="I49" s="226">
        <f t="shared" si="3"/>
        <v>1734.6000000000001</v>
      </c>
      <c r="J49" s="226">
        <f t="shared" si="3"/>
        <v>1691.7999999999997</v>
      </c>
      <c r="K49" s="226">
        <f t="shared" si="3"/>
        <v>1772.1999999999998</v>
      </c>
      <c r="L49" s="226">
        <f t="shared" si="3"/>
        <v>1705.8000000000002</v>
      </c>
      <c r="M49" s="226">
        <f t="shared" si="3"/>
        <v>15468.800000000003</v>
      </c>
      <c r="N49" s="231">
        <f>SUM(N7:N46)</f>
        <v>1718.7555555555562</v>
      </c>
      <c r="O49" s="230"/>
    </row>
    <row r="50" spans="2:15" x14ac:dyDescent="0.25">
      <c r="B50" s="229"/>
      <c r="C50" s="229" t="s">
        <v>158</v>
      </c>
      <c r="D50" s="226">
        <f>AVERAGE(D7:D46)</f>
        <v>85.260000000000019</v>
      </c>
      <c r="E50" s="226">
        <f t="shared" ref="E50:M50" si="4">AVERAGE(E7:E46)</f>
        <v>85.54</v>
      </c>
      <c r="F50" s="226">
        <f t="shared" si="4"/>
        <v>88.010000000000019</v>
      </c>
      <c r="G50" s="226">
        <f t="shared" si="4"/>
        <v>84.690000000000012</v>
      </c>
      <c r="H50" s="226">
        <f t="shared" si="4"/>
        <v>84.72</v>
      </c>
      <c r="I50" s="226">
        <f t="shared" si="4"/>
        <v>86.73</v>
      </c>
      <c r="J50" s="226">
        <f t="shared" si="4"/>
        <v>84.589999999999989</v>
      </c>
      <c r="K50" s="226">
        <f t="shared" si="4"/>
        <v>88.609999999999985</v>
      </c>
      <c r="L50" s="226">
        <f t="shared" si="4"/>
        <v>85.29</v>
      </c>
      <c r="M50" s="226">
        <f t="shared" si="4"/>
        <v>773.44000000000017</v>
      </c>
      <c r="N50" s="231">
        <f>AVERAGE(N7:N46)</f>
        <v>85.937777777777811</v>
      </c>
      <c r="O50" s="230"/>
    </row>
    <row r="51" spans="2:15" hidden="1" x14ac:dyDescent="0.25"/>
    <row r="52" spans="2:15" ht="48" customHeight="1" x14ac:dyDescent="0.25">
      <c r="K52" s="222" t="str">
        <f>LEGER!M208</f>
        <v>Kab. Kulon Progo, 15 Juni 2022</v>
      </c>
    </row>
    <row r="53" spans="2:15" x14ac:dyDescent="0.25">
      <c r="D53" s="222" t="s">
        <v>160</v>
      </c>
    </row>
    <row r="54" spans="2:15" x14ac:dyDescent="0.25">
      <c r="D54" s="222" t="s">
        <v>15</v>
      </c>
      <c r="K54" s="222" t="str">
        <f>LEGER!L211</f>
        <v>Guru Kelas VI</v>
      </c>
    </row>
    <row r="55" spans="2:15" ht="19.5" customHeight="1" x14ac:dyDescent="0.25"/>
    <row r="56" spans="2:15" hidden="1" x14ac:dyDescent="0.25"/>
    <row r="57" spans="2:15" hidden="1" x14ac:dyDescent="0.25"/>
    <row r="58" spans="2:15" x14ac:dyDescent="0.25">
      <c r="D58" s="232" t="str">
        <f>LEGER!G215</f>
        <v>RR.RUMIYATI, S.Pd.</v>
      </c>
      <c r="K58" s="232" t="str">
        <f>LEGER!L215</f>
        <v>TUMINAH, S.Pd.SD.</v>
      </c>
    </row>
    <row r="59" spans="2:15" x14ac:dyDescent="0.25">
      <c r="D59" s="232" t="str">
        <f>LEGER!G216</f>
        <v>NIP 19650409 199312 2 002</v>
      </c>
      <c r="K59" s="232" t="str">
        <f>LEGER!L216</f>
        <v>NIP 19730619 200103 2 001</v>
      </c>
    </row>
    <row r="60" spans="2:15" x14ac:dyDescent="0.25"/>
    <row r="61" spans="2:15" x14ac:dyDescent="0.25"/>
    <row r="62" spans="2:15" x14ac:dyDescent="0.25"/>
    <row r="63" spans="2:15" x14ac:dyDescent="0.25"/>
    <row r="64" spans="2:15" x14ac:dyDescent="0.25"/>
    <row r="65" x14ac:dyDescent="0.25"/>
  </sheetData>
  <sheetProtection sheet="1" objects="1" scenarios="1" formatColumns="0" formatRows="0" deleteColumns="0" deleteRows="0"/>
  <mergeCells count="9">
    <mergeCell ref="N5:N6"/>
    <mergeCell ref="O5:O6"/>
    <mergeCell ref="B1:O1"/>
    <mergeCell ref="B2:O2"/>
    <mergeCell ref="B3:O3"/>
    <mergeCell ref="B5:B6"/>
    <mergeCell ref="C5:C6"/>
    <mergeCell ref="D5:L5"/>
    <mergeCell ref="M5:M6"/>
  </mergeCells>
  <pageMargins left="0.70866141732283472" right="1.299212598425197" top="0.74803149606299213" bottom="0.74803149606299213" header="0.31496062992125984" footer="0.31496062992125984"/>
  <pageSetup paperSize="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4"/>
  <sheetViews>
    <sheetView topLeftCell="A18" zoomScale="96" zoomScaleNormal="96" workbookViewId="0">
      <selection activeCell="B4" sqref="B4:I39"/>
    </sheetView>
  </sheetViews>
  <sheetFormatPr defaultColWidth="0" defaultRowHeight="15" zeroHeight="1" x14ac:dyDescent="0.25"/>
  <cols>
    <col min="1" max="1" width="5" style="23" customWidth="1"/>
    <col min="2" max="2" width="28.5703125" style="23" customWidth="1"/>
    <col min="3" max="3" width="2.140625" style="23" customWidth="1"/>
    <col min="4" max="4" width="12.7109375" style="23" bestFit="1" customWidth="1"/>
    <col min="5" max="6" width="9.140625" style="23" customWidth="1"/>
    <col min="7" max="7" width="13.28515625" style="23" customWidth="1"/>
    <col min="8" max="8" width="6.42578125" style="23" customWidth="1"/>
    <col min="9" max="9" width="5" style="23" customWidth="1"/>
    <col min="10" max="12" width="9.140625" style="23" customWidth="1"/>
    <col min="13" max="13" width="5.7109375" style="23" customWidth="1"/>
    <col min="14" max="14" width="27.42578125" style="23" customWidth="1"/>
    <col min="15" max="17" width="9.140625" style="23" customWidth="1"/>
    <col min="18" max="16384" width="9.140625" style="23" hidden="1"/>
  </cols>
  <sheetData>
    <row r="1" spans="1:13" x14ac:dyDescent="0.25"/>
    <row r="2" spans="1:13" x14ac:dyDescent="0.25">
      <c r="K2" s="1" t="s">
        <v>20</v>
      </c>
    </row>
    <row r="3" spans="1:13" ht="21" x14ac:dyDescent="0.35">
      <c r="A3" s="51">
        <v>20</v>
      </c>
      <c r="L3" s="291" t="s">
        <v>67</v>
      </c>
      <c r="M3" s="291"/>
    </row>
    <row r="4" spans="1:13" ht="18.75" x14ac:dyDescent="0.3">
      <c r="B4" s="293" t="s">
        <v>27</v>
      </c>
      <c r="C4" s="293"/>
      <c r="D4" s="293"/>
      <c r="E4" s="293"/>
      <c r="F4" s="293"/>
      <c r="G4" s="293"/>
      <c r="H4" s="293"/>
    </row>
    <row r="5" spans="1:13" ht="18.75" x14ac:dyDescent="0.3">
      <c r="B5" s="293" t="s">
        <v>170</v>
      </c>
      <c r="C5" s="293"/>
      <c r="D5" s="293"/>
      <c r="E5" s="293"/>
      <c r="F5" s="293"/>
      <c r="G5" s="293"/>
      <c r="H5" s="293"/>
    </row>
    <row r="6" spans="1:13" ht="10.5" customHeight="1" x14ac:dyDescent="0.25"/>
    <row r="7" spans="1:13" ht="23.25" x14ac:dyDescent="0.35">
      <c r="B7" s="294" t="s">
        <v>28</v>
      </c>
      <c r="C7" s="294"/>
      <c r="D7" s="294"/>
      <c r="E7" s="294"/>
      <c r="F7" s="294"/>
      <c r="G7" s="294"/>
      <c r="H7" s="294"/>
    </row>
    <row r="8" spans="1:13" ht="7.5" customHeight="1" x14ac:dyDescent="0.25"/>
    <row r="9" spans="1:13" ht="18.75" x14ac:dyDescent="0.3">
      <c r="B9" s="290" t="s">
        <v>29</v>
      </c>
      <c r="C9" s="290"/>
      <c r="D9" s="290"/>
      <c r="E9" s="290"/>
      <c r="F9" s="290"/>
      <c r="G9" s="290"/>
      <c r="H9" s="290"/>
    </row>
    <row r="10" spans="1:13" x14ac:dyDescent="0.25">
      <c r="B10" s="295" t="str">
        <f>"TAHUN PELAJARAN  "&amp;'DATA SISWA &amp; SEK'!E60</f>
        <v>TAHUN PELAJARAN  2021/2022</v>
      </c>
      <c r="C10" s="295"/>
      <c r="D10" s="295"/>
      <c r="E10" s="295"/>
      <c r="F10" s="295"/>
      <c r="G10" s="295"/>
      <c r="H10" s="295"/>
    </row>
    <row r="11" spans="1:13" x14ac:dyDescent="0.25"/>
    <row r="12" spans="1:13" ht="21" x14ac:dyDescent="0.35">
      <c r="B12" s="46" t="s">
        <v>82</v>
      </c>
      <c r="E12" s="297" t="s">
        <v>105</v>
      </c>
      <c r="F12" s="297"/>
      <c r="G12" s="297"/>
      <c r="H12" s="297"/>
    </row>
    <row r="13" spans="1:13" ht="21" x14ac:dyDescent="0.35">
      <c r="B13" s="107" t="s">
        <v>233</v>
      </c>
      <c r="C13" s="108"/>
      <c r="D13" s="109"/>
      <c r="E13" s="109"/>
      <c r="F13" s="109"/>
    </row>
    <row r="14" spans="1:13" ht="18.75" x14ac:dyDescent="0.3">
      <c r="B14" s="47" t="s">
        <v>61</v>
      </c>
      <c r="C14" s="24" t="s">
        <v>9</v>
      </c>
      <c r="D14" s="32">
        <f>'DATA SISWA &amp; SEK'!E62</f>
        <v>20403896</v>
      </c>
    </row>
    <row r="15" spans="1:13" ht="18.75" x14ac:dyDescent="0.3">
      <c r="B15" s="46" t="s">
        <v>150</v>
      </c>
      <c r="C15" s="296" t="s">
        <v>69</v>
      </c>
      <c r="D15" s="296"/>
      <c r="E15" s="296"/>
      <c r="F15" s="296"/>
    </row>
    <row r="16" spans="1:13" ht="18.75" x14ac:dyDescent="0.3">
      <c r="B16" s="46" t="s">
        <v>62</v>
      </c>
      <c r="C16" s="296" t="s">
        <v>70</v>
      </c>
      <c r="D16" s="296"/>
      <c r="E16" s="296"/>
      <c r="F16" s="296"/>
      <c r="G16" s="23" t="s">
        <v>63</v>
      </c>
    </row>
    <row r="17" spans="2:8" ht="21" x14ac:dyDescent="0.35">
      <c r="B17" s="25" t="s">
        <v>30</v>
      </c>
      <c r="C17" s="25" t="s">
        <v>9</v>
      </c>
      <c r="D17" s="86" t="str">
        <f>VLOOKUP($A$3,'DATA SISWA &amp; SEK'!$A$4:$H$43,5,FALSE)</f>
        <v>SYAFIK PUTRA MUBAROK</v>
      </c>
      <c r="E17" s="26"/>
      <c r="F17" s="26"/>
      <c r="G17" s="26"/>
    </row>
    <row r="18" spans="2:8" ht="21" x14ac:dyDescent="0.35">
      <c r="B18" s="25" t="s">
        <v>86</v>
      </c>
      <c r="C18" s="25" t="s">
        <v>9</v>
      </c>
      <c r="D18" s="87" t="str">
        <f>VLOOKUP($A$3,'DATA SISWA &amp; SEK'!$A$4:$H$43,6,FALSE)</f>
        <v xml:space="preserve">Kulon Progo, 28 Juli 2009 </v>
      </c>
      <c r="E18" s="28"/>
      <c r="F18" s="28"/>
      <c r="G18" s="28"/>
    </row>
    <row r="19" spans="2:8" ht="21" x14ac:dyDescent="0.35">
      <c r="B19" s="25" t="s">
        <v>53</v>
      </c>
      <c r="C19" s="25" t="s">
        <v>9</v>
      </c>
      <c r="D19" s="87" t="str">
        <f>VLOOKUP($A$3,'DATA SISWA &amp; SEK'!$A$4:$H$43,8,FALSE)</f>
        <v>JUWARNO</v>
      </c>
      <c r="E19" s="28"/>
      <c r="F19" s="28"/>
      <c r="G19" s="28"/>
    </row>
    <row r="20" spans="2:8" ht="21" x14ac:dyDescent="0.35">
      <c r="B20" s="25" t="s">
        <v>60</v>
      </c>
      <c r="C20" s="25" t="s">
        <v>9</v>
      </c>
      <c r="D20" s="97">
        <f>VLOOKUP($A$3,'DATA SISWA &amp; SEK'!$A$4:$H$43,2,FALSE)</f>
        <v>1266</v>
      </c>
      <c r="E20" s="28"/>
      <c r="F20" s="28"/>
      <c r="G20" s="28"/>
    </row>
    <row r="21" spans="2:8" ht="21" x14ac:dyDescent="0.35">
      <c r="B21" s="25" t="s">
        <v>36</v>
      </c>
      <c r="C21" s="25" t="s">
        <v>9</v>
      </c>
      <c r="D21" s="87" t="str">
        <f>VLOOKUP($A$3,'DATA SISWA &amp; SEK'!$A$4:$H$43,4,FALSE)</f>
        <v>0099188327</v>
      </c>
      <c r="E21" s="28"/>
      <c r="F21" s="28"/>
      <c r="G21" s="28"/>
    </row>
    <row r="22" spans="2:8" x14ac:dyDescent="0.25"/>
    <row r="23" spans="2:8" ht="26.25" x14ac:dyDescent="0.4">
      <c r="B23" s="292" t="s">
        <v>31</v>
      </c>
      <c r="C23" s="292"/>
      <c r="D23" s="292"/>
      <c r="E23" s="292"/>
      <c r="F23" s="292"/>
      <c r="G23" s="292"/>
    </row>
    <row r="24" spans="2:8" x14ac:dyDescent="0.25"/>
    <row r="25" spans="2:8" x14ac:dyDescent="0.25"/>
    <row r="26" spans="2:8" x14ac:dyDescent="0.25">
      <c r="B26" s="23" t="s">
        <v>109</v>
      </c>
    </row>
    <row r="27" spans="2:8" x14ac:dyDescent="0.25">
      <c r="B27" s="23" t="s">
        <v>151</v>
      </c>
    </row>
    <row r="28" spans="2:8" x14ac:dyDescent="0.25"/>
    <row r="29" spans="2:8" x14ac:dyDescent="0.25"/>
    <row r="30" spans="2:8" ht="21" x14ac:dyDescent="0.35">
      <c r="F30" s="93" t="str">
        <f>'DATA SISWA &amp; SEK'!E69</f>
        <v>Kab. Kulon Progo, 16 Juni 2022</v>
      </c>
      <c r="G30" s="48"/>
      <c r="H30" s="49"/>
    </row>
    <row r="31" spans="2:8" x14ac:dyDescent="0.25">
      <c r="F31" s="49" t="s">
        <v>59</v>
      </c>
      <c r="G31" s="49"/>
      <c r="H31" s="49"/>
    </row>
    <row r="32" spans="2:8" x14ac:dyDescent="0.25">
      <c r="F32" s="49"/>
      <c r="G32" s="49"/>
      <c r="H32" s="49"/>
    </row>
    <row r="33" spans="4:8" x14ac:dyDescent="0.25">
      <c r="F33" s="49"/>
      <c r="G33" s="49"/>
      <c r="H33" s="49"/>
    </row>
    <row r="34" spans="4:8" ht="21.75" thickBot="1" x14ac:dyDescent="0.4">
      <c r="F34" s="91" t="str">
        <f>'DATA SISWA &amp; SEK'!$E$64</f>
        <v>RR.RUMIYATI, S.Pd.</v>
      </c>
      <c r="G34" s="50"/>
      <c r="H34" s="50"/>
    </row>
    <row r="35" spans="4:8" ht="18.75" x14ac:dyDescent="0.3">
      <c r="F35" s="92" t="str">
        <f>"NIP  "&amp;'DATA SISWA &amp; SEK'!$E$65</f>
        <v>NIP  19650409 199312 2 002</v>
      </c>
      <c r="G35" s="49"/>
      <c r="H35" s="49"/>
    </row>
    <row r="36" spans="4:8" x14ac:dyDescent="0.25"/>
    <row r="37" spans="4:8" x14ac:dyDescent="0.25"/>
    <row r="38" spans="4:8" ht="18.75" x14ac:dyDescent="0.3">
      <c r="D38" s="290"/>
      <c r="E38" s="290"/>
      <c r="F38" s="290"/>
      <c r="G38" s="290"/>
    </row>
    <row r="39" spans="4:8" x14ac:dyDescent="0.25"/>
    <row r="40" spans="4:8" x14ac:dyDescent="0.25"/>
    <row r="41" spans="4:8" x14ac:dyDescent="0.25"/>
    <row r="42" spans="4:8" x14ac:dyDescent="0.25"/>
    <row r="43" spans="4:8" x14ac:dyDescent="0.25"/>
    <row r="44" spans="4:8" x14ac:dyDescent="0.25"/>
  </sheetData>
  <sheetProtection sheet="1" objects="1" scenarios="1" formatColumns="0" formatRows="0"/>
  <mergeCells count="11">
    <mergeCell ref="D38:G38"/>
    <mergeCell ref="L3:M3"/>
    <mergeCell ref="B23:G23"/>
    <mergeCell ref="B4:H4"/>
    <mergeCell ref="B5:H5"/>
    <mergeCell ref="B7:H7"/>
    <mergeCell ref="B9:H9"/>
    <mergeCell ref="B10:H10"/>
    <mergeCell ref="C16:F16"/>
    <mergeCell ref="C15:F15"/>
    <mergeCell ref="E12:H12"/>
  </mergeCells>
  <hyperlinks>
    <hyperlink ref="K2" location="Home!A1" display="BACK HOME"/>
  </hyperlinks>
  <pageMargins left="0.51181102362204722" right="0.51181102362204722" top="0.74803149606299213" bottom="0.74803149606299213" header="0.31496062992125984" footer="0.31496062992125984"/>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opLeftCell="A2" workbookViewId="0">
      <selection activeCell="A5" sqref="A5:G40"/>
    </sheetView>
  </sheetViews>
  <sheetFormatPr defaultColWidth="0" defaultRowHeight="15" zeroHeight="1" x14ac:dyDescent="0.25"/>
  <cols>
    <col min="1" max="1" width="3.7109375" style="23" customWidth="1"/>
    <col min="2" max="2" width="5.5703125" style="23" customWidth="1"/>
    <col min="3" max="3" width="27.42578125" style="23" customWidth="1"/>
    <col min="4" max="4" width="2.5703125" style="23" customWidth="1"/>
    <col min="5" max="5" width="21.42578125" style="23" customWidth="1"/>
    <col min="6" max="6" width="16.42578125" style="23" customWidth="1"/>
    <col min="7" max="7" width="4.7109375" style="23" customWidth="1"/>
    <col min="8" max="10" width="9.140625" style="23" customWidth="1"/>
    <col min="11" max="11" width="1.7109375" style="23" customWidth="1"/>
    <col min="12" max="12" width="2" style="23" customWidth="1"/>
    <col min="13" max="13" width="6.7109375" style="23" customWidth="1"/>
    <col min="14" max="18" width="9.140625" style="23" customWidth="1"/>
    <col min="19" max="16384" width="9.140625" style="23" hidden="1"/>
  </cols>
  <sheetData>
    <row r="1" spans="1:9" x14ac:dyDescent="0.25">
      <c r="A1" s="128">
        <f>'IJASAH DPN'!A3</f>
        <v>20</v>
      </c>
    </row>
    <row r="2" spans="1:9" ht="15.75" x14ac:dyDescent="0.25">
      <c r="B2" s="316"/>
      <c r="C2" s="316"/>
      <c r="D2" s="316"/>
      <c r="E2" s="316"/>
      <c r="F2" s="316"/>
      <c r="G2" s="316"/>
    </row>
    <row r="3" spans="1:9" ht="9.75" customHeight="1" x14ac:dyDescent="0.3">
      <c r="B3" s="293"/>
      <c r="C3" s="293"/>
      <c r="D3" s="293"/>
      <c r="E3" s="293"/>
      <c r="F3" s="293"/>
      <c r="G3" s="293"/>
    </row>
    <row r="4" spans="1:9" ht="7.5" customHeight="1" x14ac:dyDescent="0.25"/>
    <row r="5" spans="1:9" ht="21" x14ac:dyDescent="0.35">
      <c r="B5" s="317" t="s">
        <v>52</v>
      </c>
      <c r="C5" s="317"/>
      <c r="D5" s="317"/>
      <c r="E5" s="317"/>
      <c r="F5" s="317"/>
      <c r="G5" s="317"/>
      <c r="I5" s="1" t="s">
        <v>20</v>
      </c>
    </row>
    <row r="6" spans="1:9" ht="15.75" x14ac:dyDescent="0.25">
      <c r="B6" s="318" t="s">
        <v>29</v>
      </c>
      <c r="C6" s="318"/>
      <c r="D6" s="318"/>
      <c r="E6" s="318"/>
      <c r="F6" s="318"/>
      <c r="G6" s="318"/>
    </row>
    <row r="7" spans="1:9" ht="15.75" x14ac:dyDescent="0.25">
      <c r="B7" s="319" t="str">
        <f>"TAHUN PELAJARAN "&amp;'DATA SISWA &amp; SEK'!E60</f>
        <v>TAHUN PELAJARAN 2021/2022</v>
      </c>
      <c r="C7" s="319"/>
      <c r="D7" s="319"/>
      <c r="E7" s="319"/>
      <c r="F7" s="319"/>
      <c r="G7" s="319"/>
    </row>
    <row r="8" spans="1:9" x14ac:dyDescent="0.25"/>
    <row r="9" spans="1:9" x14ac:dyDescent="0.25">
      <c r="B9" s="24"/>
      <c r="C9" s="24"/>
      <c r="D9" s="24"/>
      <c r="E9" s="24"/>
    </row>
    <row r="10" spans="1:9" ht="5.25" customHeight="1" x14ac:dyDescent="0.25"/>
    <row r="11" spans="1:9" ht="21" x14ac:dyDescent="0.35">
      <c r="B11" s="25" t="s">
        <v>12</v>
      </c>
      <c r="C11" s="25"/>
      <c r="D11" s="25" t="s">
        <v>9</v>
      </c>
      <c r="E11" s="86" t="str">
        <f>VLOOKUP($A$1,'DATA SISWA &amp; SEK'!$A$4:$H$43,5,FALSE)</f>
        <v>SYAFIK PUTRA MUBAROK</v>
      </c>
      <c r="F11" s="26"/>
    </row>
    <row r="12" spans="1:9" ht="21" hidden="1" x14ac:dyDescent="0.35">
      <c r="B12" s="25" t="s">
        <v>35</v>
      </c>
      <c r="C12" s="25"/>
      <c r="D12" s="25" t="s">
        <v>9</v>
      </c>
      <c r="E12" s="88" t="str">
        <f>VLOOKUP($A$1,'DATA SISWA &amp; SEK'!$A$4:$H$43,6,FALSE)</f>
        <v xml:space="preserve">Kulon Progo, 28 Juli 2009 </v>
      </c>
      <c r="F12" s="27"/>
    </row>
    <row r="13" spans="1:9" ht="21" hidden="1" x14ac:dyDescent="0.35">
      <c r="B13" s="25" t="s">
        <v>51</v>
      </c>
      <c r="C13" s="25"/>
      <c r="D13" s="25" t="s">
        <v>9</v>
      </c>
      <c r="E13" s="88">
        <f>VLOOKUP($A$1,'DATA SISWA &amp; SEK'!$A$4:$H$43,2,FALSE)</f>
        <v>1266</v>
      </c>
      <c r="F13" s="27"/>
    </row>
    <row r="14" spans="1:9" ht="21" x14ac:dyDescent="0.35">
      <c r="B14" s="25" t="s">
        <v>35</v>
      </c>
      <c r="C14" s="25"/>
      <c r="D14" s="25" t="s">
        <v>9</v>
      </c>
      <c r="E14" s="88" t="str">
        <f>VLOOKUP($A$1,'DATA SISWA &amp; SEK'!$A$4:$H$43,6,FALSE)</f>
        <v xml:space="preserve">Kulon Progo, 28 Juli 2009 </v>
      </c>
      <c r="F14" s="27"/>
    </row>
    <row r="15" spans="1:9" ht="21" x14ac:dyDescent="0.35">
      <c r="B15" s="25" t="s">
        <v>51</v>
      </c>
      <c r="C15" s="25"/>
      <c r="D15" s="25" t="s">
        <v>9</v>
      </c>
      <c r="E15" s="220">
        <f>VLOOKUP($A$1,'DATA SISWA &amp; SEK'!$A$4:$H$43,2,FALSE)</f>
        <v>1266</v>
      </c>
      <c r="F15" s="27"/>
    </row>
    <row r="16" spans="1:9" ht="21" x14ac:dyDescent="0.35">
      <c r="B16" s="25" t="s">
        <v>36</v>
      </c>
      <c r="C16" s="25"/>
      <c r="D16" s="25" t="s">
        <v>9</v>
      </c>
      <c r="E16" s="88" t="str">
        <f>VLOOKUP($A$1,'DATA SISWA &amp; SEK'!$A$4:$H$43,4,FALSE)</f>
        <v>0099188327</v>
      </c>
      <c r="F16" s="27"/>
    </row>
    <row r="17" spans="2:18" x14ac:dyDescent="0.25"/>
    <row r="18" spans="2:18" s="116" customFormat="1" ht="23.25" customHeight="1" x14ac:dyDescent="0.25">
      <c r="B18" s="306" t="s">
        <v>33</v>
      </c>
      <c r="C18" s="310" t="s">
        <v>84</v>
      </c>
      <c r="D18" s="311"/>
      <c r="E18" s="312"/>
      <c r="F18" s="117" t="s">
        <v>83</v>
      </c>
    </row>
    <row r="19" spans="2:18" s="116" customFormat="1" ht="23.25" customHeight="1" x14ac:dyDescent="0.25">
      <c r="B19" s="307"/>
      <c r="C19" s="313"/>
      <c r="D19" s="314"/>
      <c r="E19" s="315"/>
      <c r="F19" s="118" t="s">
        <v>85</v>
      </c>
    </row>
    <row r="20" spans="2:18" s="116" customFormat="1" ht="23.25" customHeight="1" x14ac:dyDescent="0.25">
      <c r="B20" s="308" t="str">
        <f>IF('DATA SISWA &amp; SEK'!E63="2013","Kelompok A","")</f>
        <v>Kelompok A</v>
      </c>
      <c r="C20" s="309"/>
      <c r="D20" s="309"/>
      <c r="E20" s="309"/>
      <c r="F20" s="119"/>
      <c r="M20" s="120" t="s">
        <v>71</v>
      </c>
      <c r="N20" s="120"/>
      <c r="O20" s="120"/>
      <c r="P20" s="120"/>
      <c r="Q20" s="120"/>
      <c r="R20" s="120"/>
    </row>
    <row r="21" spans="2:18" s="116" customFormat="1" ht="23.25" customHeight="1" x14ac:dyDescent="0.25">
      <c r="B21" s="121" t="s">
        <v>37</v>
      </c>
      <c r="C21" s="304" t="str">
        <f>IF('DATA SISWA &amp; SEK'!E63="2013","Pendidikan Agama dan Budi Pekerti","Pendidikan Agama ")</f>
        <v>Pendidikan Agama dan Budi Pekerti</v>
      </c>
      <c r="D21" s="305"/>
      <c r="E21" s="305"/>
      <c r="F21" s="217">
        <f>VLOOKUP($A$1,LEGER!$D$7:$R$207,7,FALSE)</f>
        <v>80.2</v>
      </c>
      <c r="J21" s="122"/>
      <c r="K21" s="122"/>
      <c r="L21" s="122"/>
      <c r="M21" s="122"/>
    </row>
    <row r="22" spans="2:18" s="116" customFormat="1" ht="23.25" customHeight="1" x14ac:dyDescent="0.25">
      <c r="B22" s="121" t="s">
        <v>38</v>
      </c>
      <c r="C22" s="304" t="str">
        <f>IF('DATA SISWA &amp; SEK'!E63="2013","Pendidikan Pancasila dan Kewarganegaraan","Pendidikan Kewarganegaraan")</f>
        <v>Pendidikan Pancasila dan Kewarganegaraan</v>
      </c>
      <c r="D22" s="305"/>
      <c r="E22" s="305"/>
      <c r="F22" s="217">
        <f>VLOOKUP($A$1,LEGER!$D$7:$R$207,8,FALSE)</f>
        <v>82.2</v>
      </c>
      <c r="J22" s="122"/>
      <c r="K22" s="122"/>
      <c r="L22" s="123"/>
      <c r="M22" s="122"/>
    </row>
    <row r="23" spans="2:18" s="116" customFormat="1" ht="23.25" customHeight="1" x14ac:dyDescent="0.25">
      <c r="B23" s="121" t="s">
        <v>39</v>
      </c>
      <c r="C23" s="304" t="s">
        <v>43</v>
      </c>
      <c r="D23" s="305"/>
      <c r="E23" s="305"/>
      <c r="F23" s="217">
        <f>VLOOKUP($A$1,LEGER!$D$7:$R$207,9,FALSE)</f>
        <v>80.400000000000006</v>
      </c>
      <c r="J23" s="122"/>
      <c r="K23" s="122"/>
      <c r="L23" s="123"/>
      <c r="M23" s="122"/>
    </row>
    <row r="24" spans="2:18" s="116" customFormat="1" ht="23.25" customHeight="1" x14ac:dyDescent="0.25">
      <c r="B24" s="121" t="s">
        <v>40</v>
      </c>
      <c r="C24" s="304" t="s">
        <v>44</v>
      </c>
      <c r="D24" s="305"/>
      <c r="E24" s="305"/>
      <c r="F24" s="217">
        <f>VLOOKUP($A$1,LEGER!$D$7:$R$207,10,FALSE)</f>
        <v>81.400000000000006</v>
      </c>
      <c r="J24" s="122"/>
      <c r="K24" s="122"/>
      <c r="L24" s="123"/>
      <c r="M24" s="122"/>
    </row>
    <row r="25" spans="2:18" s="116" customFormat="1" ht="23.25" customHeight="1" x14ac:dyDescent="0.25">
      <c r="B25" s="121" t="s">
        <v>41</v>
      </c>
      <c r="C25" s="304" t="s">
        <v>45</v>
      </c>
      <c r="D25" s="305"/>
      <c r="E25" s="305"/>
      <c r="F25" s="217">
        <f>VLOOKUP($A$1,LEGER!$D$7:$R$207,11,FALSE)</f>
        <v>81.8</v>
      </c>
      <c r="J25" s="122"/>
      <c r="K25" s="122"/>
      <c r="L25" s="123"/>
      <c r="M25" s="122"/>
    </row>
    <row r="26" spans="2:18" s="116" customFormat="1" ht="23.25" customHeight="1" x14ac:dyDescent="0.25">
      <c r="B26" s="121" t="s">
        <v>42</v>
      </c>
      <c r="C26" s="304" t="s">
        <v>46</v>
      </c>
      <c r="D26" s="305"/>
      <c r="E26" s="305"/>
      <c r="F26" s="217">
        <f>VLOOKUP($A$1,LEGER!$D$7:$R$207,12,FALSE)</f>
        <v>82</v>
      </c>
      <c r="J26" s="122"/>
      <c r="K26" s="122"/>
      <c r="L26" s="122"/>
      <c r="M26" s="122"/>
    </row>
    <row r="27" spans="2:18" s="116" customFormat="1" ht="23.25" customHeight="1" x14ac:dyDescent="0.25">
      <c r="B27" s="304" t="str">
        <f>IF('DATA SISWA &amp; SEK'!E63="2013","Kelompok B","")</f>
        <v>Kelompok B</v>
      </c>
      <c r="C27" s="305"/>
      <c r="D27" s="305"/>
      <c r="E27" s="305"/>
      <c r="F27" s="217"/>
      <c r="J27" s="122"/>
      <c r="K27" s="122"/>
      <c r="L27" s="123"/>
      <c r="M27" s="120" t="s">
        <v>71</v>
      </c>
      <c r="N27" s="120"/>
      <c r="O27" s="120"/>
      <c r="P27" s="120"/>
      <c r="Q27" s="120"/>
      <c r="R27" s="120"/>
    </row>
    <row r="28" spans="2:18" s="116" customFormat="1" ht="23.25" customHeight="1" x14ac:dyDescent="0.25">
      <c r="B28" s="121" t="str">
        <f>IF('DATA SISWA &amp; SEK'!E63="2013","1.","7.")</f>
        <v>1.</v>
      </c>
      <c r="C28" s="304" t="str">
        <f>IF('DATA SISWA &amp; SEK'!E63="2013","Seni Budaya dan Prakarya","Seni Budaya dan Keterampilan")</f>
        <v>Seni Budaya dan Prakarya</v>
      </c>
      <c r="D28" s="305"/>
      <c r="E28" s="305"/>
      <c r="F28" s="217">
        <f>VLOOKUP($A$1,LEGER!$D$7:$R$207,13,FALSE)</f>
        <v>82.2</v>
      </c>
      <c r="J28" s="122"/>
      <c r="K28" s="122"/>
      <c r="L28" s="123"/>
      <c r="M28" s="122"/>
    </row>
    <row r="29" spans="2:18" s="116" customFormat="1" ht="23.25" customHeight="1" x14ac:dyDescent="0.25">
      <c r="B29" s="124" t="str">
        <f>IF('DATA SISWA &amp; SEK'!E63="2013","2.","8.")</f>
        <v>2.</v>
      </c>
      <c r="C29" s="302" t="s">
        <v>47</v>
      </c>
      <c r="D29" s="303"/>
      <c r="E29" s="303"/>
      <c r="F29" s="217">
        <f>VLOOKUP($A$1,LEGER!$D$7:$R$207,14,FALSE)</f>
        <v>89</v>
      </c>
      <c r="J29" s="122"/>
      <c r="K29" s="122"/>
      <c r="L29" s="123"/>
      <c r="M29" s="122"/>
    </row>
    <row r="30" spans="2:18" s="116" customFormat="1" ht="23.25" customHeight="1" x14ac:dyDescent="0.25">
      <c r="B30" s="124" t="str">
        <f>IF('DATA SISWA &amp; SEK'!E63="2013","3.","9.")</f>
        <v>3.</v>
      </c>
      <c r="C30" s="298" t="s">
        <v>34</v>
      </c>
      <c r="D30" s="298"/>
      <c r="E30" s="298"/>
      <c r="F30" s="217"/>
      <c r="J30" s="122"/>
      <c r="K30" s="122"/>
      <c r="L30" s="123"/>
      <c r="M30" s="122"/>
    </row>
    <row r="31" spans="2:18" s="116" customFormat="1" ht="23.25" customHeight="1" x14ac:dyDescent="0.25">
      <c r="B31" s="125"/>
      <c r="C31" s="298" t="s">
        <v>48</v>
      </c>
      <c r="D31" s="298"/>
      <c r="E31" s="298"/>
      <c r="F31" s="217">
        <f>VLOOKUP($A$1,LEGER!$D$7:$R$207,15,FALSE)</f>
        <v>81</v>
      </c>
      <c r="J31" s="122"/>
      <c r="K31" s="122"/>
      <c r="L31" s="123"/>
      <c r="M31" s="122"/>
    </row>
    <row r="32" spans="2:18" s="116" customFormat="1" ht="23.25" customHeight="1" x14ac:dyDescent="0.25">
      <c r="B32" s="125"/>
      <c r="C32" s="298" t="s">
        <v>49</v>
      </c>
      <c r="D32" s="298"/>
      <c r="E32" s="298"/>
      <c r="F32" s="217"/>
      <c r="J32" s="84"/>
      <c r="K32" s="84"/>
      <c r="L32" s="126"/>
      <c r="M32" s="84"/>
    </row>
    <row r="33" spans="2:13" s="116" customFormat="1" ht="23.25" customHeight="1" x14ac:dyDescent="0.25">
      <c r="B33" s="125"/>
      <c r="C33" s="299" t="s">
        <v>50</v>
      </c>
      <c r="D33" s="299"/>
      <c r="E33" s="299"/>
      <c r="F33" s="217"/>
      <c r="J33" s="84"/>
      <c r="K33" s="84"/>
      <c r="L33" s="126"/>
      <c r="M33" s="84"/>
    </row>
    <row r="34" spans="2:13" ht="27" customHeight="1" x14ac:dyDescent="0.25">
      <c r="B34" s="31"/>
      <c r="C34" s="300" t="s">
        <v>5</v>
      </c>
      <c r="D34" s="300"/>
      <c r="E34" s="301"/>
      <c r="F34" s="129">
        <f>AVERAGE(F21:F31)</f>
        <v>82.244444444444454</v>
      </c>
      <c r="J34" s="84"/>
      <c r="K34" s="84"/>
      <c r="L34" s="84"/>
      <c r="M34" s="84"/>
    </row>
    <row r="35" spans="2:13" x14ac:dyDescent="0.25">
      <c r="B35" s="30"/>
      <c r="J35" s="85"/>
      <c r="K35" s="85"/>
      <c r="L35" s="85"/>
      <c r="M35" s="85"/>
    </row>
    <row r="36" spans="2:13" ht="18.75" x14ac:dyDescent="0.3">
      <c r="E36" s="94" t="str">
        <f>'DATA SISWA &amp; SEK'!E69</f>
        <v>Kab. Kulon Progo, 16 Juni 2022</v>
      </c>
      <c r="J36" s="85"/>
      <c r="K36" s="85"/>
      <c r="L36" s="85"/>
      <c r="M36" s="85"/>
    </row>
    <row r="37" spans="2:13" x14ac:dyDescent="0.25">
      <c r="E37" s="23" t="s">
        <v>59</v>
      </c>
      <c r="J37" s="85"/>
      <c r="K37" s="85"/>
      <c r="L37" s="85"/>
      <c r="M37" s="85"/>
    </row>
    <row r="38" spans="2:13" ht="30" customHeight="1" x14ac:dyDescent="0.25">
      <c r="J38" s="85"/>
      <c r="K38" s="85"/>
      <c r="L38" s="85"/>
      <c r="M38" s="85"/>
    </row>
    <row r="39" spans="2:13" ht="21.75" thickBot="1" x14ac:dyDescent="0.4">
      <c r="E39" s="89" t="str">
        <f>'DATA SISWA &amp; SEK'!E64</f>
        <v>RR.RUMIYATI, S.Pd.</v>
      </c>
      <c r="F39" s="29"/>
      <c r="J39" s="85"/>
      <c r="K39" s="85"/>
      <c r="L39" s="85"/>
      <c r="M39" s="85"/>
    </row>
    <row r="40" spans="2:13" ht="21" x14ac:dyDescent="0.35">
      <c r="E40" s="90" t="str">
        <f>"NIP    "&amp;'DATA SISWA &amp; SEK'!E65</f>
        <v>NIP    19650409 199312 2 002</v>
      </c>
      <c r="J40" s="85"/>
      <c r="K40" s="85"/>
      <c r="L40" s="85"/>
      <c r="M40" s="85"/>
    </row>
    <row r="41" spans="2:13" x14ac:dyDescent="0.25"/>
    <row r="42" spans="2:13" hidden="1" x14ac:dyDescent="0.25"/>
    <row r="43" spans="2:13" hidden="1" x14ac:dyDescent="0.25"/>
    <row r="44" spans="2:13" hidden="1" x14ac:dyDescent="0.25"/>
    <row r="45" spans="2:13" hidden="1" x14ac:dyDescent="0.25"/>
    <row r="46" spans="2:13" hidden="1" x14ac:dyDescent="0.25"/>
    <row r="47" spans="2:13" hidden="1" x14ac:dyDescent="0.25"/>
    <row r="48" spans="2:13" hidden="1" x14ac:dyDescent="0.25"/>
    <row r="49" hidden="1" x14ac:dyDescent="0.25"/>
    <row r="50" hidden="1" x14ac:dyDescent="0.25"/>
  </sheetData>
  <sheetProtection sheet="1" objects="1" scenarios="1" formatCells="0" formatColumns="0" formatRows="0"/>
  <mergeCells count="22">
    <mergeCell ref="B2:G2"/>
    <mergeCell ref="B3:G3"/>
    <mergeCell ref="B5:G5"/>
    <mergeCell ref="B6:G6"/>
    <mergeCell ref="B7:G7"/>
    <mergeCell ref="B18:B19"/>
    <mergeCell ref="B20:E20"/>
    <mergeCell ref="B27:E27"/>
    <mergeCell ref="C18:E19"/>
    <mergeCell ref="C28:E28"/>
    <mergeCell ref="C29:E29"/>
    <mergeCell ref="C21:E21"/>
    <mergeCell ref="C22:E22"/>
    <mergeCell ref="C23:E23"/>
    <mergeCell ref="C24:E24"/>
    <mergeCell ref="C25:E25"/>
    <mergeCell ref="C26:E26"/>
    <mergeCell ref="C30:E30"/>
    <mergeCell ref="C31:E31"/>
    <mergeCell ref="C32:E32"/>
    <mergeCell ref="C33:E33"/>
    <mergeCell ref="C34:E34"/>
  </mergeCells>
  <hyperlinks>
    <hyperlink ref="I5" location="Home!A1" display="BACK HOM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3"/>
  <sheetViews>
    <sheetView tabSelected="1" topLeftCell="A20" zoomScale="110" zoomScaleNormal="110" workbookViewId="0">
      <selection activeCell="L27" sqref="L27"/>
    </sheetView>
  </sheetViews>
  <sheetFormatPr defaultColWidth="0" defaultRowHeight="14.25" zeroHeight="1" x14ac:dyDescent="0.2"/>
  <cols>
    <col min="1" max="2" width="5" style="145" customWidth="1"/>
    <col min="3" max="3" width="30.5703125" style="145" customWidth="1"/>
    <col min="4" max="4" width="2.140625" style="145" customWidth="1"/>
    <col min="5" max="5" width="12.7109375" style="145" bestFit="1" customWidth="1"/>
    <col min="6" max="6" width="11" style="145" bestFit="1" customWidth="1"/>
    <col min="7" max="7" width="6.85546875" style="145" customWidth="1"/>
    <col min="8" max="8" width="14.85546875" style="145" customWidth="1"/>
    <col min="9" max="9" width="6.42578125" style="145" customWidth="1"/>
    <col min="10" max="10" width="5" style="145" customWidth="1"/>
    <col min="11" max="11" width="19.5703125" style="145" customWidth="1"/>
    <col min="12" max="12" width="18" style="145" customWidth="1"/>
    <col min="13" max="13" width="5.140625" style="145" customWidth="1"/>
    <col min="14" max="14" width="26.5703125" style="145" customWidth="1"/>
    <col min="15" max="16384" width="9.140625" style="145" hidden="1"/>
  </cols>
  <sheetData>
    <row r="1" spans="2:14" ht="15.95" customHeight="1" x14ac:dyDescent="0.25">
      <c r="B1" s="321" t="s">
        <v>89</v>
      </c>
      <c r="C1" s="321"/>
      <c r="D1" s="321"/>
      <c r="E1" s="321"/>
      <c r="F1" s="321"/>
      <c r="G1" s="321"/>
      <c r="H1" s="321"/>
      <c r="I1" s="144"/>
      <c r="K1" s="132">
        <v>20</v>
      </c>
    </row>
    <row r="2" spans="2:14" ht="15.95" customHeight="1" x14ac:dyDescent="0.2">
      <c r="B2" s="321" t="s">
        <v>90</v>
      </c>
      <c r="C2" s="321"/>
      <c r="D2" s="321"/>
      <c r="E2" s="321"/>
      <c r="F2" s="321"/>
      <c r="G2" s="321"/>
      <c r="H2" s="321"/>
      <c r="I2" s="144"/>
    </row>
    <row r="3" spans="2:14" ht="24.75" customHeight="1" x14ac:dyDescent="0.3">
      <c r="B3" s="322" t="s">
        <v>234</v>
      </c>
      <c r="C3" s="322"/>
      <c r="D3" s="322"/>
      <c r="E3" s="322"/>
      <c r="F3" s="322"/>
      <c r="G3" s="322"/>
      <c r="H3" s="322"/>
      <c r="I3" s="144"/>
      <c r="K3" s="187" t="s">
        <v>67</v>
      </c>
    </row>
    <row r="4" spans="2:14" ht="24.75" customHeight="1" x14ac:dyDescent="0.3">
      <c r="B4" s="189"/>
      <c r="C4" s="189"/>
      <c r="D4" s="189"/>
      <c r="E4" s="189"/>
      <c r="F4" s="189"/>
      <c r="G4" s="189"/>
      <c r="H4" s="189"/>
      <c r="I4" s="144"/>
      <c r="K4" s="210"/>
    </row>
    <row r="5" spans="2:14" ht="20.100000000000001" customHeight="1" x14ac:dyDescent="0.3">
      <c r="B5" s="323" t="s">
        <v>256</v>
      </c>
      <c r="C5" s="323"/>
      <c r="D5" s="323"/>
      <c r="E5" s="323"/>
      <c r="F5" s="323"/>
      <c r="G5" s="323"/>
      <c r="H5" s="323"/>
      <c r="I5" s="146"/>
    </row>
    <row r="6" spans="2:14" ht="10.5" customHeight="1" thickBot="1" x14ac:dyDescent="0.25">
      <c r="B6" s="320"/>
      <c r="C6" s="320"/>
      <c r="D6" s="320"/>
      <c r="E6" s="320"/>
      <c r="F6" s="320"/>
      <c r="G6" s="320"/>
      <c r="H6" s="320"/>
      <c r="I6" s="147"/>
    </row>
    <row r="7" spans="2:14" ht="15.95" customHeight="1" x14ac:dyDescent="0.2">
      <c r="C7" s="148"/>
      <c r="D7" s="148"/>
      <c r="E7" s="148"/>
      <c r="F7" s="148"/>
      <c r="G7" s="148"/>
      <c r="H7" s="148"/>
      <c r="I7" s="148"/>
    </row>
    <row r="8" spans="2:14" ht="20.100000000000001" customHeight="1" thickBot="1" x14ac:dyDescent="0.4">
      <c r="B8" s="324" t="s">
        <v>88</v>
      </c>
      <c r="C8" s="324"/>
      <c r="D8" s="324"/>
      <c r="E8" s="324"/>
      <c r="F8" s="324"/>
      <c r="G8" s="324"/>
      <c r="H8" s="324"/>
      <c r="I8" s="149"/>
    </row>
    <row r="9" spans="2:14" ht="15.95" customHeight="1" thickBot="1" x14ac:dyDescent="0.25">
      <c r="B9" s="325" t="str">
        <f>CONCATENATE(L9,K1,N9)</f>
        <v>NOMOR: 421.2/28.20/S.KET/SDSR/VI/2022</v>
      </c>
      <c r="C9" s="325"/>
      <c r="D9" s="325"/>
      <c r="E9" s="325"/>
      <c r="F9" s="325"/>
      <c r="G9" s="325"/>
      <c r="H9" s="325"/>
      <c r="I9" s="150"/>
      <c r="K9" s="188" t="s">
        <v>107</v>
      </c>
      <c r="L9" s="190" t="s">
        <v>254</v>
      </c>
      <c r="N9" s="190" t="s">
        <v>255</v>
      </c>
    </row>
    <row r="10" spans="2:14" ht="20.100000000000001" customHeight="1" x14ac:dyDescent="0.2"/>
    <row r="11" spans="2:14" ht="15.95" customHeight="1" x14ac:dyDescent="0.2">
      <c r="B11" s="329" t="s">
        <v>106</v>
      </c>
      <c r="C11" s="329"/>
      <c r="D11" s="329"/>
      <c r="E11" s="329"/>
      <c r="F11" s="329"/>
      <c r="G11" s="329"/>
      <c r="H11" s="329"/>
    </row>
    <row r="12" spans="2:14" ht="15.95" customHeight="1" x14ac:dyDescent="0.2">
      <c r="B12" s="151" t="s">
        <v>61</v>
      </c>
      <c r="D12" s="145" t="s">
        <v>9</v>
      </c>
      <c r="E12" s="183">
        <f>'DATA SISWA &amp; SEK'!E62</f>
        <v>20403896</v>
      </c>
    </row>
    <row r="13" spans="2:14" ht="15.95" customHeight="1" x14ac:dyDescent="0.2">
      <c r="B13" s="151" t="s">
        <v>95</v>
      </c>
      <c r="D13" s="152"/>
      <c r="E13" s="152"/>
      <c r="F13" s="152"/>
      <c r="G13" s="152"/>
    </row>
    <row r="14" spans="2:14" ht="15.95" customHeight="1" x14ac:dyDescent="0.2">
      <c r="B14" s="145" t="s">
        <v>30</v>
      </c>
      <c r="D14" s="145" t="s">
        <v>9</v>
      </c>
      <c r="E14" s="184" t="str">
        <f>VLOOKUP('SURAT KET LULUS'!$K$1,'DATA SISWA &amp; SEK'!$A$4:$H$43,5,FALSE)</f>
        <v>SYAFIK PUTRA MUBAROK</v>
      </c>
      <c r="F14" s="153"/>
      <c r="G14" s="153"/>
      <c r="H14" s="153"/>
    </row>
    <row r="15" spans="2:14" ht="15.95" customHeight="1" x14ac:dyDescent="0.2">
      <c r="B15" s="145" t="s">
        <v>86</v>
      </c>
      <c r="D15" s="145" t="s">
        <v>9</v>
      </c>
      <c r="E15" s="185" t="str">
        <f>VLOOKUP('SURAT KET LULUS'!$K$1,'DATA SISWA &amp; SEK'!$A$4:$H$43,6,FALSE)</f>
        <v xml:space="preserve">Kulon Progo, 28 Juli 2009 </v>
      </c>
      <c r="F15" s="154"/>
      <c r="G15" s="154"/>
      <c r="H15" s="154"/>
    </row>
    <row r="16" spans="2:14" ht="15.95" customHeight="1" x14ac:dyDescent="0.2">
      <c r="B16" s="145" t="s">
        <v>53</v>
      </c>
      <c r="D16" s="145" t="s">
        <v>9</v>
      </c>
      <c r="E16" s="185" t="str">
        <f>VLOOKUP('SURAT KET LULUS'!$K$1,'DATA SISWA &amp; SEK'!$A$4:$H$43,8,FALSE)</f>
        <v>JUWARNO</v>
      </c>
      <c r="F16" s="154"/>
      <c r="G16" s="154"/>
      <c r="H16" s="154"/>
    </row>
    <row r="17" spans="1:8" ht="15.95" customHeight="1" x14ac:dyDescent="0.2">
      <c r="B17" s="145" t="s">
        <v>60</v>
      </c>
      <c r="D17" s="145" t="s">
        <v>9</v>
      </c>
      <c r="E17" s="186">
        <f>VLOOKUP('SURAT KET LULUS'!$K$1,'DATA SISWA &amp; SEK'!$A$4:$H$43,2,FALSE)</f>
        <v>1266</v>
      </c>
      <c r="F17" s="154"/>
      <c r="G17" s="154"/>
      <c r="H17" s="154"/>
    </row>
    <row r="18" spans="1:8" ht="15.95" customHeight="1" x14ac:dyDescent="0.2">
      <c r="B18" s="145" t="s">
        <v>36</v>
      </c>
      <c r="D18" s="145" t="s">
        <v>9</v>
      </c>
      <c r="E18" s="185" t="str">
        <f>VLOOKUP('SURAT KET LULUS'!$K$1,'DATA SISWA &amp; SEK'!$A$4:$H$43,4,FALSE)</f>
        <v>0099188327</v>
      </c>
      <c r="F18" s="154"/>
      <c r="G18" s="154"/>
      <c r="H18" s="154"/>
    </row>
    <row r="19" spans="1:8" ht="15.95" customHeight="1" x14ac:dyDescent="0.2">
      <c r="B19" s="145" t="s">
        <v>96</v>
      </c>
    </row>
    <row r="20" spans="1:8" s="155" customFormat="1" ht="30" customHeight="1" x14ac:dyDescent="0.2">
      <c r="B20" s="326" t="s">
        <v>31</v>
      </c>
      <c r="C20" s="326"/>
      <c r="D20" s="326"/>
      <c r="E20" s="326"/>
      <c r="F20" s="326"/>
      <c r="G20" s="326"/>
      <c r="H20" s="326"/>
    </row>
    <row r="21" spans="1:8" s="155" customFormat="1" ht="15.95" customHeight="1" x14ac:dyDescent="0.2">
      <c r="C21" s="155" t="s">
        <v>97</v>
      </c>
    </row>
    <row r="22" spans="1:8" s="155" customFormat="1" ht="15.95" customHeight="1" x14ac:dyDescent="0.2">
      <c r="A22" s="327"/>
      <c r="B22" s="328" t="s">
        <v>33</v>
      </c>
      <c r="C22" s="330" t="s">
        <v>84</v>
      </c>
      <c r="D22" s="331"/>
      <c r="E22" s="331"/>
      <c r="F22" s="331"/>
      <c r="G22" s="332"/>
      <c r="H22" s="156" t="s">
        <v>83</v>
      </c>
    </row>
    <row r="23" spans="1:8" s="155" customFormat="1" ht="15.95" customHeight="1" x14ac:dyDescent="0.2">
      <c r="A23" s="327"/>
      <c r="B23" s="328"/>
      <c r="C23" s="333"/>
      <c r="D23" s="334"/>
      <c r="E23" s="334"/>
      <c r="F23" s="334"/>
      <c r="G23" s="335"/>
      <c r="H23" s="157" t="s">
        <v>85</v>
      </c>
    </row>
    <row r="24" spans="1:8" ht="15.95" customHeight="1" x14ac:dyDescent="0.2">
      <c r="A24" s="158"/>
      <c r="B24" s="159" t="s">
        <v>37</v>
      </c>
      <c r="C24" s="336" t="s">
        <v>98</v>
      </c>
      <c r="D24" s="336"/>
      <c r="E24" s="336"/>
      <c r="F24" s="160"/>
      <c r="G24" s="161"/>
      <c r="H24" s="218">
        <f>VLOOKUP(K1,LEGER!$D$7:$R$207,7,FALSE)</f>
        <v>80.2</v>
      </c>
    </row>
    <row r="25" spans="1:8" ht="15.95" customHeight="1" x14ac:dyDescent="0.2">
      <c r="A25" s="158"/>
      <c r="B25" s="159" t="s">
        <v>38</v>
      </c>
      <c r="C25" s="336" t="s">
        <v>99</v>
      </c>
      <c r="D25" s="336"/>
      <c r="E25" s="336"/>
      <c r="F25" s="160"/>
      <c r="G25" s="161"/>
      <c r="H25" s="218">
        <f>VLOOKUP($K$1,LEGER!$D$7:$R$207,8,FALSE)</f>
        <v>82.2</v>
      </c>
    </row>
    <row r="26" spans="1:8" ht="15.95" customHeight="1" x14ac:dyDescent="0.2">
      <c r="A26" s="158"/>
      <c r="B26" s="159" t="s">
        <v>39</v>
      </c>
      <c r="C26" s="336" t="s">
        <v>43</v>
      </c>
      <c r="D26" s="336"/>
      <c r="E26" s="336"/>
      <c r="F26" s="160"/>
      <c r="G26" s="161"/>
      <c r="H26" s="218">
        <f>VLOOKUP($K$1,LEGER!$D$7:$R$207,9,FALSE)</f>
        <v>80.400000000000006</v>
      </c>
    </row>
    <row r="27" spans="1:8" ht="15.95" customHeight="1" x14ac:dyDescent="0.2">
      <c r="A27" s="158"/>
      <c r="B27" s="159" t="s">
        <v>40</v>
      </c>
      <c r="C27" s="336" t="s">
        <v>44</v>
      </c>
      <c r="D27" s="336"/>
      <c r="E27" s="336"/>
      <c r="F27" s="160"/>
      <c r="G27" s="161"/>
      <c r="H27" s="218">
        <f>VLOOKUP($K$1,LEGER!$D$7:$R$207,10,FALSE)</f>
        <v>81.400000000000006</v>
      </c>
    </row>
    <row r="28" spans="1:8" ht="15.95" customHeight="1" x14ac:dyDescent="0.2">
      <c r="A28" s="158"/>
      <c r="B28" s="159" t="s">
        <v>41</v>
      </c>
      <c r="C28" s="336" t="s">
        <v>45</v>
      </c>
      <c r="D28" s="336"/>
      <c r="E28" s="336"/>
      <c r="F28" s="160"/>
      <c r="G28" s="161"/>
      <c r="H28" s="218">
        <f>VLOOKUP($K$1,LEGER!$D$7:$R$207,11,FALSE)</f>
        <v>81.8</v>
      </c>
    </row>
    <row r="29" spans="1:8" ht="15.95" customHeight="1" x14ac:dyDescent="0.2">
      <c r="A29" s="158"/>
      <c r="B29" s="159" t="s">
        <v>42</v>
      </c>
      <c r="C29" s="336" t="s">
        <v>46</v>
      </c>
      <c r="D29" s="336"/>
      <c r="E29" s="336"/>
      <c r="F29" s="160"/>
      <c r="G29" s="161"/>
      <c r="H29" s="218">
        <f>VLOOKUP($K$1,LEGER!$D$7:$R$207,12,FALSE)</f>
        <v>82</v>
      </c>
    </row>
    <row r="30" spans="1:8" ht="15.95" customHeight="1" x14ac:dyDescent="0.2">
      <c r="A30" s="158"/>
      <c r="B30" s="159" t="s">
        <v>100</v>
      </c>
      <c r="C30" s="336" t="s">
        <v>101</v>
      </c>
      <c r="D30" s="336"/>
      <c r="E30" s="336"/>
      <c r="F30" s="160"/>
      <c r="G30" s="161"/>
      <c r="H30" s="218">
        <f>VLOOKUP($K$1,LEGER!$D$7:$R$207,13,FALSE)</f>
        <v>82.2</v>
      </c>
    </row>
    <row r="31" spans="1:8" ht="15.95" customHeight="1" x14ac:dyDescent="0.2">
      <c r="A31" s="162"/>
      <c r="B31" s="163" t="s">
        <v>102</v>
      </c>
      <c r="C31" s="337" t="s">
        <v>47</v>
      </c>
      <c r="D31" s="337"/>
      <c r="E31" s="337"/>
      <c r="F31" s="337"/>
      <c r="G31" s="338"/>
      <c r="H31" s="218">
        <f>VLOOKUP(K1,LEGER!$D$7:$R$207,14,FALSE)</f>
        <v>89</v>
      </c>
    </row>
    <row r="32" spans="1:8" ht="15.95" customHeight="1" x14ac:dyDescent="0.2">
      <c r="A32" s="162"/>
      <c r="B32" s="163" t="s">
        <v>103</v>
      </c>
      <c r="C32" s="164" t="s">
        <v>34</v>
      </c>
      <c r="D32" s="164"/>
      <c r="E32" s="165"/>
      <c r="F32" s="164"/>
      <c r="G32" s="161"/>
      <c r="H32" s="219"/>
    </row>
    <row r="33" spans="1:9" ht="15.95" customHeight="1" x14ac:dyDescent="0.2">
      <c r="A33" s="166"/>
      <c r="B33" s="167"/>
      <c r="C33" s="168" t="s">
        <v>48</v>
      </c>
      <c r="D33" s="168"/>
      <c r="E33" s="169"/>
      <c r="F33" s="168"/>
      <c r="G33" s="170"/>
      <c r="H33" s="218">
        <f>VLOOKUP(K1,LEGER!$D$7:$R$207,15,FALSE)</f>
        <v>81</v>
      </c>
    </row>
    <row r="34" spans="1:9" ht="15.95" customHeight="1" x14ac:dyDescent="0.2">
      <c r="A34" s="166"/>
      <c r="B34" s="167"/>
      <c r="C34" s="168" t="s">
        <v>49</v>
      </c>
      <c r="D34" s="168"/>
      <c r="E34" s="169"/>
      <c r="F34" s="168"/>
      <c r="G34" s="170"/>
      <c r="H34" s="219"/>
    </row>
    <row r="35" spans="1:9" ht="15.95" customHeight="1" x14ac:dyDescent="0.2">
      <c r="A35" s="153"/>
      <c r="B35" s="171"/>
      <c r="C35" s="172" t="s">
        <v>5</v>
      </c>
      <c r="D35" s="172"/>
      <c r="E35" s="165"/>
      <c r="F35" s="172"/>
      <c r="G35" s="161"/>
      <c r="H35" s="180">
        <f>AVERAGE(H24:H34)</f>
        <v>82.244444444444454</v>
      </c>
    </row>
    <row r="36" spans="1:9" ht="15.95" customHeight="1" x14ac:dyDescent="0.2">
      <c r="C36" s="145" t="s">
        <v>104</v>
      </c>
    </row>
    <row r="37" spans="1:9" s="155" customFormat="1" ht="15.95" customHeight="1" x14ac:dyDescent="0.2"/>
    <row r="38" spans="1:9" s="155" customFormat="1" ht="15.95" customHeight="1" x14ac:dyDescent="0.2">
      <c r="F38" s="173" t="str">
        <f>'DATA SISWA &amp; SEK'!E68</f>
        <v>Kab. Kulon Progo, 15 Juni 2022</v>
      </c>
      <c r="H38" s="174"/>
      <c r="I38" s="175"/>
    </row>
    <row r="39" spans="1:9" s="155" customFormat="1" ht="15.95" customHeight="1" x14ac:dyDescent="0.25">
      <c r="F39" s="23" t="s">
        <v>59</v>
      </c>
      <c r="G39" s="177"/>
      <c r="H39" s="175"/>
      <c r="I39" s="175"/>
    </row>
    <row r="40" spans="1:9" s="155" customFormat="1" ht="15.95" customHeight="1" x14ac:dyDescent="0.2">
      <c r="F40" s="176"/>
      <c r="H40" s="175"/>
      <c r="I40" s="175"/>
    </row>
    <row r="41" spans="1:9" s="155" customFormat="1" ht="15.95" customHeight="1" x14ac:dyDescent="0.2">
      <c r="F41" s="176"/>
      <c r="H41" s="175"/>
      <c r="I41" s="175"/>
    </row>
    <row r="42" spans="1:9" s="155" customFormat="1" ht="15.95" customHeight="1" thickBot="1" x14ac:dyDescent="0.3">
      <c r="F42" s="181" t="str">
        <f>'DATA SISWA &amp; SEK'!$E$64</f>
        <v>RR.RUMIYATI, S.Pd.</v>
      </c>
      <c r="G42" s="178"/>
      <c r="H42" s="179"/>
      <c r="I42" s="174"/>
    </row>
    <row r="43" spans="1:9" s="155" customFormat="1" ht="15.95" customHeight="1" x14ac:dyDescent="0.2">
      <c r="F43" s="182" t="str">
        <f>"NIP  "&amp;'DATA SISWA &amp; SEK'!$E$65</f>
        <v>NIP  19650409 199312 2 002</v>
      </c>
      <c r="H43" s="175"/>
      <c r="I43" s="175"/>
    </row>
  </sheetData>
  <sheetProtection sheet="1" scenarios="1" formatColumns="0" formatRows="0"/>
  <mergeCells count="20">
    <mergeCell ref="C30:E30"/>
    <mergeCell ref="C31:G31"/>
    <mergeCell ref="C24:E24"/>
    <mergeCell ref="C25:E25"/>
    <mergeCell ref="C26:E26"/>
    <mergeCell ref="C27:E27"/>
    <mergeCell ref="C28:E28"/>
    <mergeCell ref="C29:E29"/>
    <mergeCell ref="B8:H8"/>
    <mergeCell ref="B9:H9"/>
    <mergeCell ref="B20:H20"/>
    <mergeCell ref="A22:A23"/>
    <mergeCell ref="B22:B23"/>
    <mergeCell ref="B11:H11"/>
    <mergeCell ref="C22:G23"/>
    <mergeCell ref="B6:H6"/>
    <mergeCell ref="B1:H1"/>
    <mergeCell ref="B2:H2"/>
    <mergeCell ref="B3:H3"/>
    <mergeCell ref="B5:H5"/>
  </mergeCells>
  <pageMargins left="0.51181102362204722" right="0.31496062992125984" top="0.74803149606299213" bottom="0.7480314960629921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1"/>
  <sheetViews>
    <sheetView workbookViewId="0">
      <selection activeCell="B1" sqref="B1:B19"/>
    </sheetView>
  </sheetViews>
  <sheetFormatPr defaultRowHeight="15" x14ac:dyDescent="0.25"/>
  <cols>
    <col min="1" max="1" width="24.5703125" customWidth="1"/>
    <col min="2" max="2" width="96.85546875" customWidth="1"/>
  </cols>
  <sheetData>
    <row r="9" spans="2:2" ht="46.5" x14ac:dyDescent="0.7">
      <c r="B9" s="130" t="s">
        <v>64</v>
      </c>
    </row>
    <row r="10" spans="2:2" ht="46.5" x14ac:dyDescent="0.7">
      <c r="B10" s="130" t="str">
        <f>'DATA SISWA &amp; SEK'!E59</f>
        <v>SEKOLAH  DASAR NEGERI SERANG</v>
      </c>
    </row>
    <row r="11" spans="2:2" ht="46.5" x14ac:dyDescent="0.7">
      <c r="B11" s="130" t="str">
        <f>"TAHUN PELAJARAN "&amp;'DATA SISWA &amp; SEK'!E60</f>
        <v>TAHUN PELAJARAN 2021/2022</v>
      </c>
    </row>
  </sheetData>
  <sheetProtection sheet="1" objects="1" scenarios="1"/>
  <pageMargins left="0.70866141732283461" right="0" top="0.74803040244969377" bottom="0.55118110236220474"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Home</vt:lpstr>
      <vt:lpstr>DATA SISWA &amp; SEK</vt:lpstr>
      <vt:lpstr>KKM</vt:lpstr>
      <vt:lpstr>LEGER</vt:lpstr>
      <vt:lpstr>REKAP LEGER</vt:lpstr>
      <vt:lpstr>IJASAH DPN</vt:lpstr>
      <vt:lpstr>IJASAH BELK</vt:lpstr>
      <vt:lpstr>SURAT KET LULUS</vt:lpstr>
      <vt:lpstr>Sampul</vt:lpstr>
      <vt:lpstr>LEGER!Print_Area</vt:lpstr>
      <vt:lpstr>'SURAT KET LULUS'!Print_Area</vt:lpstr>
      <vt:lpstr>LEGER!Print_Titles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INDONESIA</dc:creator>
  <cp:lastModifiedBy>Buntoro</cp:lastModifiedBy>
  <cp:lastPrinted>2022-06-10T02:27:32Z</cp:lastPrinted>
  <dcterms:created xsi:type="dcterms:W3CDTF">2011-03-02T10:37:14Z</dcterms:created>
  <dcterms:modified xsi:type="dcterms:W3CDTF">2022-06-10T03:20:00Z</dcterms:modified>
</cp:coreProperties>
</file>